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/>
  <mc:AlternateContent xmlns:mc="http://schemas.openxmlformats.org/markup-compatibility/2006">
    <mc:Choice Requires="x15">
      <x15ac:absPath xmlns:x15ac="http://schemas.microsoft.com/office/spreadsheetml/2010/11/ac" url="https://d.docs.live.net/A58C75FB79813B81/Financieel (gedeeld)/Energie/"/>
    </mc:Choice>
  </mc:AlternateContent>
  <xr:revisionPtr revIDLastSave="4717" documentId="8_{92130D1C-E96C-49FB-8F71-DF3D78DEDC04}" xr6:coauthVersionLast="47" xr6:coauthVersionMax="47" xr10:uidLastSave="{7A1C68B5-790E-49B2-B5D3-6CB60BE1A8F8}"/>
  <bookViews>
    <workbookView xWindow="-108" yWindow="-108" windowWidth="30936" windowHeight="16776" tabRatio="836" xr2:uid="{00000000-000D-0000-FFFF-FFFF00000000}"/>
  </bookViews>
  <sheets>
    <sheet name="Rekentool" sheetId="45" r:id="rId1"/>
    <sheet name="Leveranciers" sheetId="47" r:id="rId2"/>
    <sheet name="Gebruiksaanwijzing" sheetId="46" r:id="rId3"/>
    <sheet name="Terugleverkosten" sheetId="44" r:id="rId4"/>
  </sheets>
  <definedNames>
    <definedName name="_xlnm._FilterDatabase" localSheetId="1" hidden="1">Leveranciers!$A$1:$E$1</definedName>
    <definedName name="_xlnm._FilterDatabase" localSheetId="0" hidden="1">Rekentool!$B$3:$AO$51</definedName>
    <definedName name="aaa">#REF!</definedName>
    <definedName name="aov_premie">#REF!</definedName>
    <definedName name="belastingschijf_4">#REF!</definedName>
    <definedName name="belastingtarief_3">#REF!</definedName>
    <definedName name="belastingtarief_4">#REF!</definedName>
    <definedName name="eigenwoningforfait">#REF!</definedName>
    <definedName name="energiebelasting">Rekentool!$G$72</definedName>
    <definedName name="hypotheek_aflossing">#REF!</definedName>
    <definedName name="hypotheekrente">#REF!</definedName>
    <definedName name="leverancier">Rekentool!$F$57</definedName>
    <definedName name="netbeheer">Rekentool!$G$70</definedName>
    <definedName name="teruggaaf">Rekentool!$G$69</definedName>
    <definedName name="teruglevering">Rekentool!$F$56</definedName>
    <definedName name="verbruik">Rekentool!$F$55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5" l="1"/>
  <c r="J46" i="45"/>
  <c r="J45" i="45"/>
  <c r="J26" i="45"/>
  <c r="U26" i="45"/>
  <c r="T26" i="45"/>
  <c r="J9" i="45"/>
  <c r="J11" i="45"/>
  <c r="J23" i="45"/>
  <c r="AA37" i="45"/>
  <c r="J38" i="45"/>
  <c r="G70" i="45"/>
  <c r="J31" i="45"/>
  <c r="D3" i="44"/>
  <c r="D4" i="44"/>
  <c r="D5" i="44"/>
  <c r="D6" i="44"/>
  <c r="D8" i="44"/>
  <c r="D9" i="44"/>
  <c r="D10" i="44"/>
  <c r="D12" i="44"/>
  <c r="D13" i="44"/>
  <c r="D14" i="44"/>
  <c r="D16" i="44"/>
  <c r="D17" i="44"/>
  <c r="D18" i="44"/>
  <c r="D21" i="44"/>
  <c r="D22" i="44"/>
  <c r="D23" i="44"/>
  <c r="D25" i="44"/>
  <c r="D26" i="44"/>
  <c r="D27" i="44"/>
  <c r="D29" i="44"/>
  <c r="D30" i="44"/>
  <c r="D31" i="44"/>
  <c r="D33" i="44"/>
  <c r="D34" i="44"/>
  <c r="D35" i="44"/>
  <c r="D37" i="44"/>
  <c r="D38" i="44"/>
  <c r="D39" i="44"/>
  <c r="D41" i="44"/>
  <c r="D42" i="44"/>
  <c r="D43" i="44"/>
  <c r="D45" i="44"/>
  <c r="D46" i="44"/>
  <c r="D47" i="44"/>
  <c r="D49" i="44"/>
  <c r="D50" i="44"/>
  <c r="D51" i="44"/>
  <c r="D53" i="44"/>
  <c r="D54" i="44"/>
  <c r="D55" i="44"/>
  <c r="D57" i="44"/>
  <c r="D58" i="44"/>
  <c r="D59" i="44"/>
  <c r="D61" i="44"/>
  <c r="D62" i="44"/>
  <c r="D63" i="44"/>
  <c r="D65" i="44"/>
  <c r="D66" i="44"/>
  <c r="D67" i="44"/>
  <c r="D69" i="44"/>
  <c r="D70" i="44"/>
  <c r="D71" i="44"/>
  <c r="D73" i="44"/>
  <c r="D74" i="44"/>
  <c r="D75" i="44"/>
  <c r="D77" i="44"/>
  <c r="D78" i="44"/>
  <c r="D79" i="44"/>
  <c r="D81" i="44"/>
  <c r="D82" i="44"/>
  <c r="D83" i="44"/>
  <c r="D85" i="44"/>
  <c r="D86" i="44"/>
  <c r="D87" i="44"/>
  <c r="D89" i="44"/>
  <c r="D90" i="44"/>
  <c r="D91" i="44"/>
  <c r="D93" i="44"/>
  <c r="D94" i="44"/>
  <c r="D95" i="44"/>
  <c r="D97" i="44"/>
  <c r="D98" i="44"/>
  <c r="D99" i="44"/>
  <c r="D100" i="44"/>
  <c r="D101" i="44"/>
  <c r="D102" i="44"/>
  <c r="D103" i="44"/>
  <c r="D104" i="44"/>
  <c r="D105" i="44"/>
  <c r="D106" i="44"/>
  <c r="D107" i="44"/>
  <c r="D108" i="44"/>
  <c r="D109" i="44"/>
  <c r="D110" i="44"/>
  <c r="D111" i="44"/>
  <c r="D112" i="44"/>
  <c r="D113" i="44"/>
  <c r="D114" i="44"/>
  <c r="D115" i="44"/>
  <c r="D116" i="44"/>
  <c r="D19" i="44"/>
  <c r="J30" i="45"/>
  <c r="T48" i="45"/>
  <c r="T3" i="45"/>
  <c r="T51" i="45"/>
  <c r="T36" i="45"/>
  <c r="T39" i="45"/>
  <c r="T22" i="45"/>
  <c r="T14" i="45"/>
  <c r="T17" i="45"/>
  <c r="T10" i="45"/>
  <c r="T9" i="45"/>
  <c r="T28" i="45"/>
  <c r="T11" i="45"/>
  <c r="T15" i="45"/>
  <c r="D96" i="44" l="1"/>
  <c r="D92" i="44"/>
  <c r="D88" i="44"/>
  <c r="D84" i="44"/>
  <c r="D80" i="44"/>
  <c r="D76" i="44"/>
  <c r="D72" i="44"/>
  <c r="D68" i="44"/>
  <c r="D64" i="44"/>
  <c r="D60" i="44"/>
  <c r="D56" i="44"/>
  <c r="D52" i="44"/>
  <c r="D48" i="44"/>
  <c r="D44" i="44"/>
  <c r="D40" i="44"/>
  <c r="D36" i="44"/>
  <c r="D32" i="44"/>
  <c r="D28" i="44"/>
  <c r="D24" i="44"/>
  <c r="D20" i="44"/>
  <c r="D15" i="44"/>
  <c r="D11" i="44"/>
  <c r="D7" i="44"/>
  <c r="T33" i="45"/>
  <c r="T50" i="45"/>
  <c r="T16" i="45"/>
  <c r="T4" i="45"/>
  <c r="T23" i="45"/>
  <c r="T13" i="45"/>
  <c r="T38" i="45"/>
  <c r="T43" i="45"/>
  <c r="T30" i="45"/>
  <c r="U16" i="45"/>
  <c r="T40" i="45"/>
  <c r="T5" i="45"/>
  <c r="T20" i="45"/>
  <c r="T18" i="45"/>
  <c r="T25" i="45"/>
  <c r="T41" i="45"/>
  <c r="U37" i="45"/>
  <c r="U5" i="45"/>
  <c r="U17" i="45"/>
  <c r="U44" i="45"/>
  <c r="U35" i="45"/>
  <c r="U29" i="45"/>
  <c r="U40" i="45"/>
  <c r="U19" i="45"/>
  <c r="U32" i="45"/>
  <c r="T19" i="45"/>
  <c r="T24" i="45"/>
  <c r="T21" i="45"/>
  <c r="T45" i="45"/>
  <c r="T49" i="45"/>
  <c r="T31" i="45"/>
  <c r="T46" i="45"/>
  <c r="T37" i="45"/>
  <c r="U8" i="45"/>
  <c r="U23" i="45"/>
  <c r="U34" i="45"/>
  <c r="U47" i="45"/>
  <c r="T8" i="45"/>
  <c r="T6" i="45"/>
  <c r="T35" i="45"/>
  <c r="T27" i="45"/>
  <c r="T12" i="45"/>
  <c r="T7" i="45"/>
  <c r="T34" i="45"/>
  <c r="T42" i="45"/>
  <c r="T44" i="45"/>
  <c r="T29" i="45"/>
  <c r="T47" i="45"/>
  <c r="T32" i="45"/>
  <c r="U22" i="45"/>
  <c r="U6" i="45"/>
  <c r="U27" i="45"/>
  <c r="U42" i="45"/>
  <c r="U11" i="45"/>
  <c r="U28" i="45"/>
  <c r="U20" i="45"/>
  <c r="U13" i="45"/>
  <c r="U14" i="45"/>
  <c r="U25" i="45"/>
  <c r="U36" i="45"/>
  <c r="U41" i="45"/>
  <c r="U33" i="45"/>
  <c r="U48" i="45"/>
  <c r="U50" i="45"/>
  <c r="U12" i="45"/>
  <c r="U7" i="45"/>
  <c r="U38" i="45"/>
  <c r="U39" i="45"/>
  <c r="U43" i="45"/>
  <c r="U51" i="45"/>
  <c r="U30" i="45"/>
  <c r="U3" i="45"/>
  <c r="G65" i="45"/>
  <c r="U15" i="45"/>
  <c r="U4" i="45"/>
  <c r="U9" i="45"/>
  <c r="U10" i="45"/>
  <c r="U18" i="45"/>
  <c r="U24" i="45"/>
  <c r="U21" i="45"/>
  <c r="U45" i="45"/>
  <c r="U49" i="45"/>
  <c r="U31" i="45"/>
  <c r="U46" i="45"/>
  <c r="J10" i="45"/>
  <c r="J20" i="45"/>
  <c r="J24" i="45"/>
  <c r="J15" i="45"/>
  <c r="K100" i="44"/>
  <c r="J100" i="44"/>
  <c r="C100" i="44"/>
  <c r="AA34" i="45"/>
  <c r="J37" i="45"/>
  <c r="J27" i="45"/>
  <c r="J16" i="45"/>
  <c r="J32" i="45"/>
  <c r="J3" i="45"/>
  <c r="J50" i="45"/>
  <c r="J51" i="45"/>
  <c r="J47" i="45"/>
  <c r="F47" i="44"/>
  <c r="F8" i="44"/>
  <c r="J41" i="45"/>
  <c r="J69" i="44"/>
  <c r="J71" i="44"/>
  <c r="J73" i="44"/>
  <c r="J75" i="44"/>
  <c r="J77" i="44"/>
  <c r="J79" i="44"/>
  <c r="J81" i="44"/>
  <c r="J83" i="44"/>
  <c r="J85" i="44"/>
  <c r="J87" i="44"/>
  <c r="J116" i="44"/>
  <c r="J115" i="44"/>
  <c r="J114" i="44"/>
  <c r="J113" i="44"/>
  <c r="J112" i="44"/>
  <c r="J111" i="44"/>
  <c r="J110" i="44"/>
  <c r="J109" i="44"/>
  <c r="J108" i="44"/>
  <c r="J107" i="44"/>
  <c r="J106" i="44"/>
  <c r="J105" i="44"/>
  <c r="J104" i="44"/>
  <c r="J103" i="44"/>
  <c r="J102" i="44"/>
  <c r="J101" i="44"/>
  <c r="J99" i="44"/>
  <c r="J98" i="44"/>
  <c r="J97" i="44"/>
  <c r="J96" i="44"/>
  <c r="J95" i="44"/>
  <c r="J94" i="44"/>
  <c r="J93" i="44"/>
  <c r="J92" i="44"/>
  <c r="J91" i="44"/>
  <c r="J90" i="44"/>
  <c r="J89" i="44"/>
  <c r="J88" i="44"/>
  <c r="J86" i="44"/>
  <c r="J84" i="44"/>
  <c r="J82" i="44"/>
  <c r="J80" i="44"/>
  <c r="J78" i="44"/>
  <c r="J76" i="44"/>
  <c r="J74" i="44"/>
  <c r="J70" i="44"/>
  <c r="J72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36" i="44"/>
  <c r="J38" i="44"/>
  <c r="J40" i="44"/>
  <c r="J42" i="44"/>
  <c r="J44" i="44"/>
  <c r="J46" i="44"/>
  <c r="J48" i="44"/>
  <c r="J50" i="44"/>
  <c r="J51" i="44"/>
  <c r="J49" i="44"/>
  <c r="J47" i="44"/>
  <c r="J45" i="44"/>
  <c r="J43" i="44"/>
  <c r="J41" i="44"/>
  <c r="J39" i="44"/>
  <c r="J37" i="44"/>
  <c r="J35" i="44"/>
  <c r="J34" i="44"/>
  <c r="J33" i="44"/>
  <c r="J40" i="45"/>
  <c r="J49" i="45"/>
  <c r="J33" i="45"/>
  <c r="J13" i="45"/>
  <c r="J7" i="45"/>
  <c r="J4" i="45"/>
  <c r="J12" i="45"/>
  <c r="J19" i="45"/>
  <c r="J36" i="45"/>
  <c r="J18" i="45"/>
  <c r="J35" i="45"/>
  <c r="AA31" i="45"/>
  <c r="J42" i="45"/>
  <c r="K116" i="44"/>
  <c r="K115" i="44"/>
  <c r="K114" i="44"/>
  <c r="K113" i="44"/>
  <c r="K112" i="44"/>
  <c r="K111" i="44"/>
  <c r="K110" i="44"/>
  <c r="K109" i="44"/>
  <c r="K108" i="44"/>
  <c r="K107" i="44"/>
  <c r="K106" i="44"/>
  <c r="K105" i="44"/>
  <c r="K104" i="44"/>
  <c r="K103" i="44"/>
  <c r="K102" i="44"/>
  <c r="K101" i="44"/>
  <c r="K99" i="44"/>
  <c r="K98" i="44"/>
  <c r="K97" i="44"/>
  <c r="K96" i="44"/>
  <c r="K95" i="44"/>
  <c r="K94" i="44"/>
  <c r="K93" i="44"/>
  <c r="K92" i="44"/>
  <c r="K91" i="44"/>
  <c r="K90" i="44"/>
  <c r="K89" i="44"/>
  <c r="K88" i="44"/>
  <c r="K87" i="44"/>
  <c r="K86" i="44"/>
  <c r="K85" i="44"/>
  <c r="K84" i="44"/>
  <c r="K83" i="44"/>
  <c r="K82" i="44"/>
  <c r="K81" i="44"/>
  <c r="K80" i="44"/>
  <c r="K79" i="44"/>
  <c r="K78" i="44"/>
  <c r="K77" i="44"/>
  <c r="K76" i="44"/>
  <c r="K75" i="44"/>
  <c r="K74" i="44"/>
  <c r="K73" i="44"/>
  <c r="K72" i="44"/>
  <c r="K71" i="44"/>
  <c r="K70" i="44"/>
  <c r="K69" i="44"/>
  <c r="K68" i="44"/>
  <c r="K67" i="44"/>
  <c r="K66" i="44"/>
  <c r="K65" i="44"/>
  <c r="K64" i="44"/>
  <c r="K63" i="44"/>
  <c r="K62" i="44"/>
  <c r="K61" i="44"/>
  <c r="K60" i="44"/>
  <c r="K59" i="44"/>
  <c r="K58" i="44"/>
  <c r="K57" i="44"/>
  <c r="K56" i="44"/>
  <c r="K55" i="44"/>
  <c r="K54" i="44"/>
  <c r="K53" i="44"/>
  <c r="K52" i="44"/>
  <c r="K51" i="44"/>
  <c r="K50" i="44"/>
  <c r="K49" i="44"/>
  <c r="K48" i="44"/>
  <c r="K47" i="44"/>
  <c r="K46" i="44"/>
  <c r="K45" i="44"/>
  <c r="K44" i="44"/>
  <c r="K43" i="44"/>
  <c r="K42" i="44"/>
  <c r="K41" i="44"/>
  <c r="K40" i="44"/>
  <c r="K39" i="44"/>
  <c r="K38" i="44"/>
  <c r="K37" i="44"/>
  <c r="K36" i="44"/>
  <c r="K35" i="44"/>
  <c r="K34" i="44"/>
  <c r="K33" i="44"/>
  <c r="K32" i="44"/>
  <c r="K31" i="44"/>
  <c r="K30" i="44"/>
  <c r="K29" i="44"/>
  <c r="K28" i="44"/>
  <c r="K27" i="44"/>
  <c r="K26" i="44"/>
  <c r="K25" i="44"/>
  <c r="K24" i="44"/>
  <c r="K23" i="44"/>
  <c r="K22" i="44"/>
  <c r="K21" i="44"/>
  <c r="K20" i="44"/>
  <c r="K19" i="44"/>
  <c r="K18" i="44"/>
  <c r="K17" i="44"/>
  <c r="C94" i="44"/>
  <c r="F52" i="44"/>
  <c r="F53" i="44"/>
  <c r="F54" i="44"/>
  <c r="F55" i="44"/>
  <c r="F56" i="44"/>
  <c r="F57" i="44"/>
  <c r="F58" i="44"/>
  <c r="F59" i="44"/>
  <c r="F60" i="44"/>
  <c r="F61" i="44"/>
  <c r="F62" i="44"/>
  <c r="F63" i="44"/>
  <c r="F64" i="44"/>
  <c r="F65" i="44"/>
  <c r="F66" i="44"/>
  <c r="F67" i="44"/>
  <c r="J5" i="45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6" i="44"/>
  <c r="J15" i="44"/>
  <c r="J14" i="44"/>
  <c r="J13" i="44"/>
  <c r="J12" i="44"/>
  <c r="J11" i="44"/>
  <c r="J10" i="44"/>
  <c r="J9" i="44"/>
  <c r="J8" i="44"/>
  <c r="J7" i="44"/>
  <c r="J6" i="44"/>
  <c r="J5" i="44"/>
  <c r="J4" i="44"/>
  <c r="C90" i="44"/>
  <c r="C88" i="44"/>
  <c r="C86" i="44"/>
  <c r="C84" i="44"/>
  <c r="C80" i="44"/>
  <c r="C78" i="44"/>
  <c r="C76" i="44"/>
  <c r="C74" i="44"/>
  <c r="C70" i="44"/>
  <c r="C68" i="44"/>
  <c r="K56" i="45"/>
  <c r="J56" i="45"/>
  <c r="K55" i="45"/>
  <c r="J55" i="45"/>
  <c r="H81" i="45"/>
  <c r="C116" i="44"/>
  <c r="C115" i="44"/>
  <c r="C114" i="44"/>
  <c r="C113" i="44"/>
  <c r="C112" i="44"/>
  <c r="C111" i="44"/>
  <c r="C110" i="44"/>
  <c r="C109" i="44"/>
  <c r="C108" i="44"/>
  <c r="C107" i="44"/>
  <c r="C105" i="44"/>
  <c r="C104" i="44"/>
  <c r="C101" i="44"/>
  <c r="C98" i="44"/>
  <c r="C97" i="44"/>
  <c r="C102" i="44"/>
  <c r="C95" i="44"/>
  <c r="C93" i="44"/>
  <c r="C91" i="44"/>
  <c r="C89" i="44"/>
  <c r="J8" i="45"/>
  <c r="J6" i="45"/>
  <c r="C82" i="44"/>
  <c r="C87" i="44"/>
  <c r="C83" i="44"/>
  <c r="C85" i="44"/>
  <c r="J39" i="45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9" i="44"/>
  <c r="C71" i="44"/>
  <c r="C72" i="44"/>
  <c r="C73" i="44"/>
  <c r="C75" i="44"/>
  <c r="C77" i="44"/>
  <c r="C79" i="44"/>
  <c r="C81" i="44"/>
  <c r="C92" i="44"/>
  <c r="C96" i="44"/>
  <c r="C99" i="44"/>
  <c r="C103" i="44"/>
  <c r="C106" i="44"/>
  <c r="C3" i="44"/>
  <c r="C4" i="44"/>
  <c r="C5" i="44"/>
  <c r="C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J43" i="45"/>
  <c r="B59" i="45"/>
  <c r="J34" i="45"/>
  <c r="H69" i="45"/>
  <c r="G76" i="45"/>
  <c r="G77" i="45"/>
  <c r="G78" i="45"/>
  <c r="G79" i="45"/>
  <c r="G80" i="45"/>
  <c r="G81" i="45"/>
  <c r="G82" i="45"/>
  <c r="G83" i="45"/>
  <c r="G84" i="45"/>
  <c r="G85" i="45"/>
  <c r="G86" i="45"/>
  <c r="G87" i="45"/>
  <c r="G53" i="44"/>
  <c r="G54" i="44"/>
  <c r="G55" i="44"/>
  <c r="G57" i="44"/>
  <c r="G56" i="44"/>
  <c r="G58" i="44"/>
  <c r="G59" i="44"/>
  <c r="G61" i="44"/>
  <c r="G60" i="44"/>
  <c r="G63" i="44"/>
  <c r="G62" i="44"/>
  <c r="G65" i="44"/>
  <c r="G64" i="44"/>
  <c r="G66" i="44"/>
  <c r="G67" i="44"/>
  <c r="G52" i="44"/>
  <c r="J25" i="45"/>
  <c r="J29" i="45"/>
  <c r="B1" i="45"/>
  <c r="H87" i="45"/>
  <c r="H86" i="45"/>
  <c r="H85" i="45"/>
  <c r="H84" i="45"/>
  <c r="H83" i="45"/>
  <c r="H82" i="45"/>
  <c r="H80" i="45"/>
  <c r="H79" i="45"/>
  <c r="H78" i="45"/>
  <c r="H77" i="45"/>
  <c r="H76" i="45"/>
  <c r="J22" i="45"/>
  <c r="J28" i="45"/>
  <c r="J14" i="45"/>
  <c r="R26" i="45" l="1"/>
  <c r="O41" i="45"/>
  <c r="O26" i="45"/>
  <c r="S26" i="45"/>
  <c r="L26" i="45"/>
  <c r="Z28" i="45"/>
  <c r="O16" i="45"/>
  <c r="G68" i="45"/>
  <c r="G61" i="45"/>
  <c r="H61" i="45" s="1"/>
  <c r="G60" i="45"/>
  <c r="G62" i="45"/>
  <c r="H70" i="45"/>
  <c r="Y33" i="45"/>
  <c r="O20" i="45"/>
  <c r="L20" i="45"/>
  <c r="S15" i="45"/>
  <c r="S20" i="45"/>
  <c r="R15" i="45"/>
  <c r="O15" i="45"/>
  <c r="R20" i="45"/>
  <c r="L15" i="45"/>
  <c r="O39" i="45"/>
  <c r="Y49" i="45"/>
  <c r="O50" i="45"/>
  <c r="O47" i="45"/>
  <c r="O25" i="45"/>
  <c r="O8" i="45"/>
  <c r="O29" i="45"/>
  <c r="O19" i="45"/>
  <c r="O46" i="45"/>
  <c r="O6" i="45"/>
  <c r="O28" i="45"/>
  <c r="O12" i="45"/>
  <c r="O48" i="45"/>
  <c r="O5" i="45"/>
  <c r="O14" i="45"/>
  <c r="O35" i="45"/>
  <c r="O22" i="45"/>
  <c r="O32" i="45"/>
  <c r="R4" i="45"/>
  <c r="O40" i="45"/>
  <c r="O13" i="45"/>
  <c r="O38" i="45"/>
  <c r="O45" i="45"/>
  <c r="O23" i="45"/>
  <c r="O37" i="45"/>
  <c r="O33" i="45"/>
  <c r="O21" i="45"/>
  <c r="O31" i="45"/>
  <c r="O43" i="45"/>
  <c r="O51" i="45"/>
  <c r="O36" i="45"/>
  <c r="S14" i="45"/>
  <c r="R14" i="45"/>
  <c r="L12" i="45"/>
  <c r="Y44" i="45"/>
  <c r="S11" i="45"/>
  <c r="S25" i="45"/>
  <c r="S18" i="45"/>
  <c r="R9" i="45"/>
  <c r="L3" i="45"/>
  <c r="Y46" i="45"/>
  <c r="S32" i="45"/>
  <c r="Y30" i="45"/>
  <c r="S4" i="45"/>
  <c r="S17" i="45"/>
  <c r="Y38" i="45"/>
  <c r="L47" i="45"/>
  <c r="R25" i="45"/>
  <c r="L21" i="45"/>
  <c r="L50" i="45"/>
  <c r="Y42" i="45"/>
  <c r="Y45" i="45"/>
  <c r="Y16" i="45"/>
  <c r="S6" i="45"/>
  <c r="Y41" i="45"/>
  <c r="S8" i="45"/>
  <c r="S24" i="45"/>
  <c r="S12" i="45"/>
  <c r="S7" i="45"/>
  <c r="S10" i="45"/>
  <c r="O3" i="45"/>
  <c r="O34" i="45"/>
  <c r="O18" i="45"/>
  <c r="O9" i="45"/>
  <c r="O17" i="45"/>
  <c r="O27" i="45"/>
  <c r="O30" i="45"/>
  <c r="O11" i="45"/>
  <c r="S5" i="45"/>
  <c r="S35" i="45"/>
  <c r="S36" i="45"/>
  <c r="S19" i="45"/>
  <c r="S13" i="45"/>
  <c r="Y29" i="45"/>
  <c r="Y40" i="45"/>
  <c r="Y27" i="45"/>
  <c r="S22" i="45"/>
  <c r="S23" i="45"/>
  <c r="S9" i="45"/>
  <c r="O24" i="45"/>
  <c r="O44" i="45"/>
  <c r="O7" i="45"/>
  <c r="O4" i="45"/>
  <c r="O49" i="45"/>
  <c r="O10" i="45"/>
  <c r="O42" i="45"/>
  <c r="R11" i="45"/>
  <c r="R6" i="45"/>
  <c r="L39" i="45"/>
  <c r="G39" i="45" s="1"/>
  <c r="L42" i="45"/>
  <c r="L49" i="45"/>
  <c r="L24" i="45"/>
  <c r="L45" i="45"/>
  <c r="L7" i="45"/>
  <c r="L17" i="45"/>
  <c r="L18" i="45"/>
  <c r="L37" i="45"/>
  <c r="G37" i="45" s="1"/>
  <c r="L36" i="45"/>
  <c r="L23" i="45"/>
  <c r="L51" i="45"/>
  <c r="L10" i="45"/>
  <c r="L6" i="45"/>
  <c r="R5" i="45"/>
  <c r="R35" i="45"/>
  <c r="R18" i="45"/>
  <c r="R36" i="45"/>
  <c r="R12" i="45"/>
  <c r="R13" i="45"/>
  <c r="R10" i="45"/>
  <c r="L9" i="45"/>
  <c r="L41" i="45"/>
  <c r="L46" i="45"/>
  <c r="L25" i="45"/>
  <c r="L35" i="45"/>
  <c r="L19" i="45"/>
  <c r="R22" i="45"/>
  <c r="R32" i="45"/>
  <c r="L48" i="45"/>
  <c r="L4" i="45"/>
  <c r="L43" i="45"/>
  <c r="L44" i="45"/>
  <c r="L13" i="45"/>
  <c r="L14" i="45"/>
  <c r="L16" i="45"/>
  <c r="L28" i="45"/>
  <c r="L11" i="45"/>
  <c r="R8" i="45"/>
  <c r="R23" i="45"/>
  <c r="R24" i="45"/>
  <c r="R19" i="45"/>
  <c r="R7" i="45"/>
  <c r="R17" i="45"/>
  <c r="L31" i="45"/>
  <c r="L8" i="45"/>
  <c r="L5" i="45"/>
  <c r="L33" i="45"/>
  <c r="L22" i="45"/>
  <c r="L32" i="45"/>
  <c r="G51" i="45" l="1"/>
  <c r="G26" i="45"/>
  <c r="H26" i="45" s="1"/>
  <c r="G50" i="45"/>
  <c r="G6" i="45"/>
  <c r="G22" i="45"/>
  <c r="G31" i="45"/>
  <c r="G25" i="45"/>
  <c r="G10" i="45"/>
  <c r="G21" i="45"/>
  <c r="G4" i="45"/>
  <c r="G47" i="45"/>
  <c r="G8" i="45"/>
  <c r="G11" i="45"/>
  <c r="G35" i="45"/>
  <c r="G9" i="45"/>
  <c r="G16" i="45"/>
  <c r="G46" i="45"/>
  <c r="G43" i="45"/>
  <c r="G18" i="45"/>
  <c r="G24" i="45"/>
  <c r="G45" i="45"/>
  <c r="G3" i="45"/>
  <c r="H3" i="45" s="1"/>
  <c r="G15" i="45"/>
  <c r="H15" i="45" s="1"/>
  <c r="G33" i="45"/>
  <c r="G5" i="45"/>
  <c r="G14" i="45"/>
  <c r="G19" i="45"/>
  <c r="G23" i="45"/>
  <c r="G17" i="45"/>
  <c r="G42" i="45"/>
  <c r="G44" i="45"/>
  <c r="G32" i="45"/>
  <c r="G13" i="45"/>
  <c r="G48" i="45"/>
  <c r="G36" i="45"/>
  <c r="G7" i="45"/>
  <c r="G12" i="45"/>
  <c r="G49" i="45"/>
  <c r="G20" i="45"/>
  <c r="G66" i="45"/>
  <c r="G41" i="45"/>
  <c r="G67" i="45"/>
  <c r="H67" i="45" s="1"/>
  <c r="G28" i="45"/>
  <c r="G64" i="45"/>
  <c r="H68" i="45"/>
  <c r="H60" i="45"/>
  <c r="H12" i="45" l="1"/>
  <c r="H41" i="45"/>
  <c r="H50" i="45"/>
  <c r="H51" i="45"/>
  <c r="H49" i="45"/>
  <c r="H42" i="45"/>
  <c r="L29" i="45"/>
  <c r="G29" i="45" s="1"/>
  <c r="H13" i="45"/>
  <c r="H21" i="45"/>
  <c r="H19" i="45"/>
  <c r="L27" i="45"/>
  <c r="G27" i="45" s="1"/>
  <c r="H8" i="45"/>
  <c r="H5" i="45"/>
  <c r="H31" i="45"/>
  <c r="H66" i="45"/>
  <c r="H33" i="45"/>
  <c r="H23" i="45"/>
  <c r="H17" i="45"/>
  <c r="H48" i="45"/>
  <c r="H37" i="45"/>
  <c r="H44" i="45"/>
  <c r="H10" i="45"/>
  <c r="H7" i="45"/>
  <c r="H20" i="45"/>
  <c r="H6" i="45"/>
  <c r="H35" i="45"/>
  <c r="H4" i="45"/>
  <c r="H36" i="45"/>
  <c r="H47" i="45"/>
  <c r="H24" i="45"/>
  <c r="H45" i="45"/>
  <c r="H11" i="45"/>
  <c r="H32" i="45"/>
  <c r="H9" i="45"/>
  <c r="H18" i="45"/>
  <c r="H39" i="45"/>
  <c r="H46" i="45"/>
  <c r="H28" i="45"/>
  <c r="H22" i="45"/>
  <c r="H14" i="45"/>
  <c r="H43" i="45"/>
  <c r="H16" i="45"/>
  <c r="L30" i="45"/>
  <c r="G30" i="45" s="1"/>
  <c r="L34" i="45"/>
  <c r="G34" i="45" s="1"/>
  <c r="H25" i="45"/>
  <c r="H29" i="45" l="1"/>
  <c r="H27" i="45"/>
  <c r="L40" i="45"/>
  <c r="G40" i="45" s="1"/>
  <c r="H40" i="45" l="1"/>
  <c r="H30" i="45"/>
  <c r="H34" i="45"/>
  <c r="L38" i="45" l="1"/>
  <c r="G63" i="45" s="1"/>
  <c r="G71" i="45" l="1"/>
  <c r="H71" i="45" s="1"/>
  <c r="H63" i="45"/>
  <c r="G38" i="45"/>
  <c r="H38" i="45" s="1"/>
</calcChain>
</file>

<file path=xl/sharedStrings.xml><?xml version="1.0" encoding="utf-8"?>
<sst xmlns="http://schemas.openxmlformats.org/spreadsheetml/2006/main" count="327" uniqueCount="225">
  <si>
    <t>verbruik</t>
  </si>
  <si>
    <t>Etrfvbr</t>
  </si>
  <si>
    <t>vanaf</t>
  </si>
  <si>
    <t>Vandebron</t>
  </si>
  <si>
    <t>Vaste leveringskosten per jaar</t>
  </si>
  <si>
    <t>Gewoon Energie</t>
  </si>
  <si>
    <t>Mega</t>
  </si>
  <si>
    <t>Pure Energie</t>
  </si>
  <si>
    <t>United Consumers</t>
  </si>
  <si>
    <t>Vrijopnaam</t>
  </si>
  <si>
    <t>1 jaar</t>
  </si>
  <si>
    <t>Terugleverkosten over bruto teruglevering per kWh</t>
  </si>
  <si>
    <t>kosten per jaar</t>
  </si>
  <si>
    <t>kosten per maand</t>
  </si>
  <si>
    <t>Gewogen marktprijs verbruik per jaar</t>
  </si>
  <si>
    <t>Gewogen marktprijs teruglevering per jaar</t>
  </si>
  <si>
    <t>Delta</t>
  </si>
  <si>
    <t>Energiedirect</t>
  </si>
  <si>
    <t>Essent</t>
  </si>
  <si>
    <t>Vattenfall</t>
  </si>
  <si>
    <t>Etotvbr</t>
  </si>
  <si>
    <t>Innova</t>
  </si>
  <si>
    <t>Energie Van Ons</t>
  </si>
  <si>
    <t>Budget Energie</t>
  </si>
  <si>
    <t>Power Peers</t>
  </si>
  <si>
    <t>Frank Energie</t>
  </si>
  <si>
    <t>Vaste leveringskosten</t>
  </si>
  <si>
    <t>normaal</t>
  </si>
  <si>
    <t>dal</t>
  </si>
  <si>
    <t>teruglev</t>
  </si>
  <si>
    <t>Verbruik in kWh -&gt; vul in</t>
  </si>
  <si>
    <t>Teruglevering per kWh -&gt; vul in</t>
  </si>
  <si>
    <t>Leverancier -&gt; selecteer</t>
  </si>
  <si>
    <t>Inkoopvergoeding verbruik per kWh</t>
  </si>
  <si>
    <t>Totaal (euro)</t>
  </si>
  <si>
    <t>tot</t>
  </si>
  <si>
    <t>Eenmalige korting</t>
  </si>
  <si>
    <t>Update</t>
  </si>
  <si>
    <t>dynamisch verbruik</t>
  </si>
  <si>
    <t>Dit is de werkelijk afgenomen en teruggeleverde energie in kWh van en naar het net.</t>
  </si>
  <si>
    <t>per maand</t>
  </si>
  <si>
    <t>per jaar</t>
  </si>
  <si>
    <t>% normaal</t>
  </si>
  <si>
    <t>Vul in de bovenste gele velden het verbruik en de teruglevering in.</t>
  </si>
  <si>
    <t>Verbruiksgegevens</t>
  </si>
  <si>
    <t>Door het selecteren van de leverancier kunnen de details van de berekening worden weergegeven voor deze leverancier.</t>
  </si>
  <si>
    <t>De hoeveelheid energie bij normaaltarief en daltarief wordt automatisch berekend op basis van een standaard percentage dat indien nodig kan worden gewijzigd.</t>
  </si>
  <si>
    <t>Deze tabel laat zien wat de gemiddelde marktprijs is per kWh en inclusief btw per maand voor verbruik en teruglevering op basis van afgelopen jaar.</t>
  </si>
  <si>
    <t>per kWh</t>
  </si>
  <si>
    <t>Een eenmalige korting of loyaliteitsbonus wordt individueel bepaald. Vul deze desgewenst in in het lichtgele veld.</t>
  </si>
  <si>
    <t>Indien nodig kunnen de gemiddelde tarieven worden gewijzigd voor een specifieke situatie in het lichtgele velden.</t>
  </si>
  <si>
    <t>Etrfprd</t>
  </si>
  <si>
    <t>Etotprd</t>
  </si>
  <si>
    <t>Vul in of selecteer</t>
  </si>
  <si>
    <t>Energiebelasting 2025</t>
  </si>
  <si>
    <t>Inkoopvergoeding teruglevering per kWh binnen salderen</t>
  </si>
  <si>
    <t>Inkoopvergoeding teruglevering per kWh buiten salderen</t>
  </si>
  <si>
    <t>Mogelijke korting per jaar</t>
  </si>
  <si>
    <t>Gewogen tarief netto verbruik per kWh excl. bel.</t>
  </si>
  <si>
    <t>Tarief netto verbruik hoog per kWh  excl. bel.</t>
  </si>
  <si>
    <t>Tarief netto verbruik laag per kWh excl. bel.</t>
  </si>
  <si>
    <t>Gewogen tarief netto teruglevering per kWh excl. bel.</t>
  </si>
  <si>
    <t>Tarief netto teruglevering hoog per kWh excl. bel.</t>
  </si>
  <si>
    <t>Tarief netto teruglevering laag per kWh excl. bel.</t>
  </si>
  <si>
    <t>Variabele vergoeding teruglevering</t>
  </si>
  <si>
    <t>Variabele kosten verbruik</t>
  </si>
  <si>
    <t>Terugaaf energiebelasting</t>
  </si>
  <si>
    <t>Netbeheer (Stedin Utrecht)</t>
  </si>
  <si>
    <t>gewogen marktprijs per maand 2024</t>
  </si>
  <si>
    <t>De Nuts Groep</t>
  </si>
  <si>
    <t>Johan van Swaaij</t>
  </si>
  <si>
    <t>Energiekoepels in FR, GR en DR</t>
  </si>
  <si>
    <t>Edgeir Aksnes, Daniel Lindén</t>
  </si>
  <si>
    <t>Raedthuys Groep</t>
  </si>
  <si>
    <t>Pieter Zwart, HAL Investments</t>
  </si>
  <si>
    <t>Mitsubishi/Chubu</t>
  </si>
  <si>
    <t>Auke Ferwerda</t>
  </si>
  <si>
    <t>Joost Wieser</t>
  </si>
  <si>
    <t>Achmea, Rabobank</t>
  </si>
  <si>
    <t>Jan David Kleppe</t>
  </si>
  <si>
    <t>Stichting Administratiekantoor ANWB</t>
  </si>
  <si>
    <t>Coöperatie</t>
  </si>
  <si>
    <t>Terence Huijgen, Thomas Hulshof</t>
  </si>
  <si>
    <t>Chiriqui</t>
  </si>
  <si>
    <t>Eelco Wessels Boer</t>
  </si>
  <si>
    <t>Innova Energie</t>
  </si>
  <si>
    <t>Zweedse Staat</t>
  </si>
  <si>
    <t>Energie Concurrent/Eneco</t>
  </si>
  <si>
    <t>Eneco</t>
  </si>
  <si>
    <t>DE E.ON</t>
  </si>
  <si>
    <t>Engie</t>
  </si>
  <si>
    <t>Marc Kluijtmans, Casper Hengst, Bas Wijnen</t>
  </si>
  <si>
    <t>Franse Staat/NV</t>
  </si>
  <si>
    <t>Gijs Wubbe, Frederik op de Beeck</t>
  </si>
  <si>
    <t>Leverancier</t>
  </si>
  <si>
    <t>Eigenaar</t>
  </si>
  <si>
    <t>EnergyZero</t>
  </si>
  <si>
    <t>NieuweStroom</t>
  </si>
  <si>
    <t>Remko ten Barge</t>
  </si>
  <si>
    <t>Greenchoice</t>
  </si>
  <si>
    <t>Oxxio</t>
  </si>
  <si>
    <t>Powerpeers</t>
  </si>
  <si>
    <t>Centraal Beheer</t>
  </si>
  <si>
    <t>Hegg Energy</t>
  </si>
  <si>
    <t>SamSam</t>
  </si>
  <si>
    <t>EasyEnergy</t>
  </si>
  <si>
    <t>Groenpand</t>
  </si>
  <si>
    <t>HalloStroom</t>
  </si>
  <si>
    <t>Coolblue Energie</t>
  </si>
  <si>
    <t>ZonderGas</t>
  </si>
  <si>
    <t>Energie Concurrent</t>
  </si>
  <si>
    <t>Zonneplan</t>
  </si>
  <si>
    <t xml:space="preserve">Robert Lamot, Jonas Streng, Kees van Wensem, </t>
  </si>
  <si>
    <t>Sjef Peeraer, Marten Eikelboom, Robert Vet, Floris de Haes</t>
  </si>
  <si>
    <t>Alfons Wispels</t>
  </si>
  <si>
    <t>Bas Poell, Paul van Selms</t>
  </si>
  <si>
    <t>Thomas Coune, Michael Corhay, Pieter Schoen, Theo de Rooij</t>
  </si>
  <si>
    <t>Michiel Rexwinkel, Rob van Rees, John Appeldoorn</t>
  </si>
  <si>
    <t>ANWB Energie</t>
  </si>
  <si>
    <t>Klanten</t>
  </si>
  <si>
    <t>Tibber</t>
  </si>
  <si>
    <t>Holthausen Groep</t>
  </si>
  <si>
    <t>Stefan Holthausen, Carl Holthausen</t>
  </si>
  <si>
    <t>52 gemeenten en 8 waterschappen uit Noord-Holland, Zuid-Holland, Flevoland en Friesland</t>
  </si>
  <si>
    <t>NextEnergy</t>
  </si>
  <si>
    <t>Wesley de Kruijff</t>
  </si>
  <si>
    <t>Essent (model)</t>
  </si>
  <si>
    <t>Vandebron (1 jaar)</t>
  </si>
  <si>
    <t>Energiedirect (1 jaar)</t>
  </si>
  <si>
    <t>Budget Energie (1 jaar)</t>
  </si>
  <si>
    <t>Energie Van Ons (1 jaar)</t>
  </si>
  <si>
    <t>Greenchoice (1 jaar)</t>
  </si>
  <si>
    <t>Oxxio (1 jaar)</t>
  </si>
  <si>
    <t>Pure Energie (1 jaar)</t>
  </si>
  <si>
    <t>Vattenfall (1 jaar)</t>
  </si>
  <si>
    <t>Innova Energie (1 jaar)</t>
  </si>
  <si>
    <t>Gewoon Energie (1 jaar)</t>
  </si>
  <si>
    <t>Eneco (1 jaar)</t>
  </si>
  <si>
    <t>United Consumers (1 jaar)</t>
  </si>
  <si>
    <t>Delta (1 jaar)</t>
  </si>
  <si>
    <t>Mega (1 jaar)</t>
  </si>
  <si>
    <t>Essent (1 jaar)</t>
  </si>
  <si>
    <t>Powerpeers (1 jaar)</t>
  </si>
  <si>
    <t>Engie (1 jaar)</t>
  </si>
  <si>
    <t>Vrijopnaam  (1 jaar)</t>
  </si>
  <si>
    <t>Next Energy (dynamisch)</t>
  </si>
  <si>
    <t>Budget Energie (dynamisch)</t>
  </si>
  <si>
    <t>EasyEnergy (dynamisch)</t>
  </si>
  <si>
    <t>Frank Energie (dynamisch)</t>
  </si>
  <si>
    <t>HalloStroom (dynamisch)</t>
  </si>
  <si>
    <t>Innova Energie (dynamisch)</t>
  </si>
  <si>
    <t>Zonneplan (dynamisch)</t>
  </si>
  <si>
    <t>Vandebron (dynamisch)</t>
  </si>
  <si>
    <t>Tibber (dynamisch)</t>
  </si>
  <si>
    <t>Energie Van Ons (dynamisch)</t>
  </si>
  <si>
    <t>Pure Energie (dynamisch)</t>
  </si>
  <si>
    <t>Coolblue Energie (dynamisch)</t>
  </si>
  <si>
    <t>Eneco (dynamisch)</t>
  </si>
  <si>
    <t>ZonderGas (dynamisch)</t>
  </si>
  <si>
    <t>Centraal Beheer (dynamisch)</t>
  </si>
  <si>
    <t>Hegg Energy (dynamisch)</t>
  </si>
  <si>
    <t>SamSam (dynamisch)</t>
  </si>
  <si>
    <t>Greenchoice (dynamisch)</t>
  </si>
  <si>
    <t>ANWB Energie (dynamisch)</t>
  </si>
  <si>
    <t>vast</t>
  </si>
  <si>
    <t>dyn</t>
  </si>
  <si>
    <t>Aandeelhouders</t>
  </si>
  <si>
    <t>Clean Energy/HEM Energie</t>
  </si>
  <si>
    <t>Groenpand Groep B.V.</t>
  </si>
  <si>
    <t>Terugleverkosten (per kWh)</t>
  </si>
  <si>
    <t>Vattenfall (model)</t>
  </si>
  <si>
    <t>Eneco (model)</t>
  </si>
  <si>
    <t>Vandebron (model)</t>
  </si>
  <si>
    <t>Delta (model)</t>
  </si>
  <si>
    <t>Aandeel groene stroom uit NL</t>
  </si>
  <si>
    <t>HVC</t>
  </si>
  <si>
    <t>OM Energie (1 jaar)</t>
  </si>
  <si>
    <t>OM Energie</t>
  </si>
  <si>
    <t>Clean Energy (1 jaar)</t>
  </si>
  <si>
    <t>EnergyZero (dynamisch)</t>
  </si>
  <si>
    <t>Contract</t>
  </si>
  <si>
    <t>Dynamisch</t>
  </si>
  <si>
    <t>1 Jaar</t>
  </si>
  <si>
    <t>Model</t>
  </si>
  <si>
    <t>Groenpand (dynamisch)</t>
  </si>
  <si>
    <t>Terugleverkosten over bruto teruglevering per jaar (staffel)</t>
  </si>
  <si>
    <t>https://www.zonneplan.nl/energie/zonnepanelen/hoe-hoog-zijn-terugleverkosten</t>
  </si>
  <si>
    <t>https://www.overstappen.nl/energie/energieprijzen/terugleverkosten/</t>
  </si>
  <si>
    <t>https://jeroen.nl/dynamische-energie/aanbieders</t>
  </si>
  <si>
    <t>Energiek (dynamisch)</t>
  </si>
  <si>
    <t>?</t>
  </si>
  <si>
    <t>Essent (dynamisch)</t>
  </si>
  <si>
    <t>Extra vaste leveringskosten zonnepanelen</t>
  </si>
  <si>
    <t>Inkoopkosten verbruik per jaar</t>
  </si>
  <si>
    <t>Inkoopkosten teruglevering per jaar</t>
  </si>
  <si>
    <t>Energiebelasting</t>
  </si>
  <si>
    <t>Terugleverkosten over deel binnen saldering per jaar (staffel)</t>
  </si>
  <si>
    <t>selecteer (saldering)</t>
  </si>
  <si>
    <t>selecteer (bruto)</t>
  </si>
  <si>
    <t>iets lager verbruikstarief, geen bonus meer</t>
  </si>
  <si>
    <t>significant lager verbruikstarief, terugleverkosten significant lager door geen bruto teruglevering, geen bonus meer</t>
  </si>
  <si>
    <t>significant hoger verbruikstarief</t>
  </si>
  <si>
    <t>significant lager verbruikstarief</t>
  </si>
  <si>
    <t>terugleverkosten significant hoger</t>
  </si>
  <si>
    <t>verbruikstarief iets lager, terugleverkosten significant hoger</t>
  </si>
  <si>
    <t>verbruikstarief iets lager, terugleververgoeding iets hoger, iets minder bonus</t>
  </si>
  <si>
    <t>verbruikstarief iets lager</t>
  </si>
  <si>
    <t>inkoopkosten te betalen bij teruglevering buiten saldering</t>
  </si>
  <si>
    <t>inkoopkosten bij alle teruglevering te betalen</t>
  </si>
  <si>
    <t>significant hogere inkoopkosten bij terugleveren</t>
  </si>
  <si>
    <t>geen wijziging</t>
  </si>
  <si>
    <t>maandtarief hoger, inkoopkosten te betalen bij teruglevering buiten saldering</t>
  </si>
  <si>
    <t>verbruikstarief iets lage, geen bonus meer</t>
  </si>
  <si>
    <t>maandtarief hoger, iets lager verbruikstarief, hogere terugleverkosten</t>
  </si>
  <si>
    <t>maandtarief lager, significant lager verbruikstarief</t>
  </si>
  <si>
    <t>maandtarief lager, iets lager verbruikstarief, geen vaste kosten zonnepanelen meer</t>
  </si>
  <si>
    <t>verbruikstarief iets lager, geen bonus meer</t>
  </si>
  <si>
    <t>significant hogere inkoopkosten buiten salderen</t>
  </si>
  <si>
    <t>maandbedrag lager</t>
  </si>
  <si>
    <t>Vattenfall (dynamisch)</t>
  </si>
  <si>
    <t>significant hogere inkoopkosten bvoor terugleveren buiten saldering</t>
  </si>
  <si>
    <t>verbruikstarief iets lager, terugleververgoeding iets lager</t>
  </si>
  <si>
    <t>verbruikstarief significant lager, terugleververgoeding iets hoger</t>
  </si>
  <si>
    <t>maandbedrag significant lager, verbruikstarief iets lager</t>
  </si>
  <si>
    <t>maandbedrag hoger, misleidende beursprijs in 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</si>
</sst>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00_-;\-* #,##0.0000_-;_-* &quot;-&quot;??_-;_-@_-"/>
    <numFmt numFmtId="165" formatCode="[$€-2]\ #,##0;[Red]\-[$€-2]\ #,##0"/>
    <numFmt numFmtId="166" formatCode="_-* #,##0.00000_-;\-* #,##0.00000_-;_-* &quot;-&quot;??_-;_-@_-"/>
    <numFmt numFmtId="167" formatCode="0_ ;\-0\ "/>
    <numFmt numFmtId="168" formatCode="_-* #,##0_-;\-* #,##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theme="6" tint="-0.249977111117893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u val="singleAccounting"/>
      <sz val="10"/>
      <color rgb="FF0070C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7" fillId="0" borderId="0"/>
    <xf numFmtId="0" fontId="6" fillId="0" borderId="0"/>
    <xf numFmtId="0" fontId="9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2" borderId="0" xfId="0" applyFill="1"/>
    <xf numFmtId="0" fontId="9" fillId="2" borderId="10" xfId="0" applyFont="1" applyFill="1" applyBorder="1" applyAlignment="1">
      <alignment horizontal="center" textRotation="45" wrapText="1"/>
    </xf>
    <xf numFmtId="0" fontId="9" fillId="2" borderId="0" xfId="0" applyFont="1" applyFill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center" textRotation="45" wrapText="1"/>
    </xf>
    <xf numFmtId="0" fontId="9" fillId="2" borderId="0" xfId="0" applyFont="1" applyFill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43" fontId="8" fillId="2" borderId="10" xfId="0" applyNumberFormat="1" applyFont="1" applyFill="1" applyBorder="1"/>
    <xf numFmtId="43" fontId="10" fillId="2" borderId="10" xfId="0" applyNumberFormat="1" applyFont="1" applyFill="1" applyBorder="1"/>
    <xf numFmtId="164" fontId="10" fillId="2" borderId="10" xfId="0" applyNumberFormat="1" applyFont="1" applyFill="1" applyBorder="1"/>
    <xf numFmtId="164" fontId="11" fillId="2" borderId="10" xfId="0" applyNumberFormat="1" applyFont="1" applyFill="1" applyBorder="1"/>
    <xf numFmtId="0" fontId="9" fillId="2" borderId="0" xfId="0" applyFont="1" applyFill="1" applyAlignment="1">
      <alignment wrapText="1"/>
    </xf>
    <xf numFmtId="0" fontId="9" fillId="0" borderId="10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65" fontId="0" fillId="0" borderId="0" xfId="0" applyNumberFormat="1"/>
    <xf numFmtId="4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3" fontId="0" fillId="2" borderId="0" xfId="0" applyNumberFormat="1" applyFill="1"/>
    <xf numFmtId="164" fontId="9" fillId="2" borderId="0" xfId="0" applyNumberFormat="1" applyFont="1" applyFill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9" fontId="0" fillId="2" borderId="6" xfId="1" applyFont="1" applyFill="1" applyBorder="1" applyAlignment="1">
      <alignment horizontal="center"/>
    </xf>
    <xf numFmtId="43" fontId="9" fillId="2" borderId="0" xfId="0" applyNumberFormat="1" applyFont="1" applyFill="1"/>
    <xf numFmtId="166" fontId="9" fillId="2" borderId="0" xfId="0" applyNumberFormat="1" applyFont="1" applyFill="1" applyAlignment="1">
      <alignment horizontal="center"/>
    </xf>
    <xf numFmtId="167" fontId="9" fillId="2" borderId="0" xfId="0" applyNumberFormat="1" applyFont="1" applyFill="1" applyAlignment="1">
      <alignment horizontal="center"/>
    </xf>
    <xf numFmtId="2" fontId="13" fillId="2" borderId="0" xfId="0" applyNumberFormat="1" applyFont="1" applyFill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0" fontId="8" fillId="2" borderId="11" xfId="0" applyFont="1" applyFill="1" applyBorder="1"/>
    <xf numFmtId="0" fontId="9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1" xfId="0" applyFont="1" applyFill="1" applyBorder="1"/>
    <xf numFmtId="9" fontId="0" fillId="4" borderId="0" xfId="1" applyFont="1" applyFill="1" applyBorder="1" applyAlignment="1">
      <alignment horizontal="center"/>
    </xf>
    <xf numFmtId="167" fontId="13" fillId="2" borderId="0" xfId="0" applyNumberFormat="1" applyFont="1" applyFill="1" applyAlignment="1">
      <alignment horizontal="center"/>
    </xf>
    <xf numFmtId="167" fontId="13" fillId="2" borderId="7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9" fillId="2" borderId="13" xfId="0" applyFont="1" applyFill="1" applyBorder="1" applyAlignment="1">
      <alignment horizontal="center"/>
    </xf>
    <xf numFmtId="43" fontId="13" fillId="2" borderId="0" xfId="0" applyNumberFormat="1" applyFont="1" applyFill="1" applyAlignment="1">
      <alignment horizontal="center"/>
    </xf>
    <xf numFmtId="43" fontId="13" fillId="2" borderId="7" xfId="0" applyNumberFormat="1" applyFont="1" applyFill="1" applyBorder="1" applyAlignment="1">
      <alignment horizontal="center"/>
    </xf>
    <xf numFmtId="43" fontId="14" fillId="2" borderId="3" xfId="0" applyNumberFormat="1" applyFont="1" applyFill="1" applyBorder="1" applyAlignment="1">
      <alignment horizontal="center"/>
    </xf>
    <xf numFmtId="43" fontId="14" fillId="2" borderId="6" xfId="0" applyNumberFormat="1" applyFont="1" applyFill="1" applyBorder="1"/>
    <xf numFmtId="0" fontId="9" fillId="2" borderId="1" xfId="0" applyFont="1" applyFill="1" applyBorder="1" applyAlignment="1">
      <alignment horizontal="left"/>
    </xf>
    <xf numFmtId="16" fontId="9" fillId="2" borderId="7" xfId="0" applyNumberFormat="1" applyFont="1" applyFill="1" applyBorder="1" applyAlignment="1">
      <alignment horizontal="left"/>
    </xf>
    <xf numFmtId="16" fontId="9" fillId="2" borderId="6" xfId="0" applyNumberFormat="1" applyFont="1" applyFill="1" applyBorder="1" applyAlignment="1">
      <alignment horizontal="left"/>
    </xf>
    <xf numFmtId="43" fontId="15" fillId="2" borderId="0" xfId="0" applyNumberFormat="1" applyFont="1" applyFill="1" applyAlignment="1">
      <alignment horizontal="center"/>
    </xf>
    <xf numFmtId="43" fontId="15" fillId="2" borderId="7" xfId="0" applyNumberFormat="1" applyFont="1" applyFill="1" applyBorder="1" applyAlignment="1">
      <alignment horizontal="center"/>
    </xf>
    <xf numFmtId="2" fontId="9" fillId="4" borderId="7" xfId="0" applyNumberFormat="1" applyFont="1" applyFill="1" applyBorder="1" applyAlignment="1">
      <alignment horizontal="center"/>
    </xf>
    <xf numFmtId="2" fontId="9" fillId="4" borderId="6" xfId="0" applyNumberFormat="1" applyFont="1" applyFill="1" applyBorder="1" applyAlignment="1">
      <alignment horizontal="center"/>
    </xf>
    <xf numFmtId="43" fontId="11" fillId="4" borderId="10" xfId="0" applyNumberFormat="1" applyFont="1" applyFill="1" applyBorder="1"/>
    <xf numFmtId="164" fontId="10" fillId="5" borderId="10" xfId="0" applyNumberFormat="1" applyFont="1" applyFill="1" applyBorder="1"/>
    <xf numFmtId="164" fontId="11" fillId="5" borderId="10" xfId="0" applyNumberFormat="1" applyFont="1" applyFill="1" applyBorder="1"/>
    <xf numFmtId="43" fontId="10" fillId="5" borderId="10" xfId="0" applyNumberFormat="1" applyFont="1" applyFill="1" applyBorder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8" fillId="2" borderId="12" xfId="0" applyFont="1" applyFill="1" applyBorder="1"/>
    <xf numFmtId="0" fontId="9" fillId="2" borderId="3" xfId="0" applyFont="1" applyFill="1" applyBorder="1"/>
    <xf numFmtId="0" fontId="9" fillId="2" borderId="0" xfId="0" applyFont="1" applyFill="1" applyAlignment="1">
      <alignment horizontal="right" wrapText="1"/>
    </xf>
    <xf numFmtId="3" fontId="9" fillId="2" borderId="0" xfId="0" applyNumberFormat="1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43" fontId="13" fillId="5" borderId="10" xfId="0" applyNumberFormat="1" applyFont="1" applyFill="1" applyBorder="1"/>
    <xf numFmtId="0" fontId="9" fillId="2" borderId="0" xfId="0" applyFont="1" applyFill="1" applyAlignment="1">
      <alignment horizontal="center" wrapText="1"/>
    </xf>
    <xf numFmtId="9" fontId="9" fillId="2" borderId="0" xfId="1" applyFont="1" applyFill="1" applyAlignment="1">
      <alignment horizontal="center"/>
    </xf>
    <xf numFmtId="9" fontId="9" fillId="2" borderId="0" xfId="1" applyFont="1" applyFill="1" applyBorder="1" applyAlignment="1">
      <alignment horizontal="center"/>
    </xf>
    <xf numFmtId="9" fontId="9" fillId="2" borderId="3" xfId="1" applyFon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1" fontId="8" fillId="2" borderId="0" xfId="0" applyNumberFormat="1" applyFont="1" applyFill="1" applyAlignment="1">
      <alignment horizontal="center"/>
    </xf>
    <xf numFmtId="0" fontId="16" fillId="0" borderId="0" xfId="13"/>
    <xf numFmtId="2" fontId="16" fillId="0" borderId="0" xfId="13" applyNumberFormat="1"/>
    <xf numFmtId="9" fontId="0" fillId="2" borderId="0" xfId="1" applyFont="1" applyFill="1"/>
    <xf numFmtId="168" fontId="0" fillId="2" borderId="0" xfId="0" applyNumberFormat="1" applyFill="1"/>
    <xf numFmtId="43" fontId="9" fillId="2" borderId="0" xfId="0" applyNumberFormat="1" applyFont="1" applyFill="1" applyAlignment="1">
      <alignment horizontal="left"/>
    </xf>
    <xf numFmtId="0" fontId="9" fillId="2" borderId="1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167" fontId="9" fillId="3" borderId="0" xfId="0" applyNumberFormat="1" applyFont="1" applyFill="1" applyAlignment="1">
      <alignment horizontal="left"/>
    </xf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9" fillId="2" borderId="0" xfId="0" applyFont="1" applyFill="1" applyAlignment="1">
      <alignment horizontal="right"/>
    </xf>
    <xf numFmtId="0" fontId="0" fillId="2" borderId="0" xfId="1" applyNumberFormat="1" applyFont="1" applyFill="1"/>
    <xf numFmtId="0" fontId="9" fillId="0" borderId="10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3" fontId="9" fillId="2" borderId="0" xfId="0" applyNumberFormat="1" applyFont="1" applyFill="1" applyBorder="1" applyAlignment="1">
      <alignment horizontal="right"/>
    </xf>
    <xf numFmtId="167" fontId="0" fillId="2" borderId="0" xfId="0" applyNumberFormat="1" applyFill="1"/>
    <xf numFmtId="0" fontId="9" fillId="2" borderId="0" xfId="0" applyFont="1" applyFill="1" applyBorder="1" applyAlignment="1">
      <alignment horizontal="left"/>
    </xf>
  </cellXfs>
  <cellStyles count="14">
    <cellStyle name="Hyperlink" xfId="13" builtinId="8"/>
    <cellStyle name="Normal 2" xfId="2" xr:uid="{21A4325A-FF51-4B6C-932D-EB9AD2624D17}"/>
    <cellStyle name="Procent" xfId="1" builtinId="5"/>
    <cellStyle name="Procent 2" xfId="6" xr:uid="{6EB5E025-A3AB-4B08-90F6-4670F1E1D517}"/>
    <cellStyle name="Procent 3" xfId="7" xr:uid="{C26ECB3B-C101-4B1D-BE8D-EBD99F1AC443}"/>
    <cellStyle name="Procent 4" xfId="9" xr:uid="{9578EF07-8E0C-4490-B51B-420131A3483F}"/>
    <cellStyle name="Procent 5" xfId="11" xr:uid="{588F4020-18EF-47E3-9B7E-2414218C4A7B}"/>
    <cellStyle name="Standaard" xfId="0" builtinId="0"/>
    <cellStyle name="Standaard 2" xfId="3" xr:uid="{3E9B9BDD-ED82-4151-BA41-79B64474F4BD}"/>
    <cellStyle name="Standaard 2 2" xfId="5" xr:uid="{1D2A0B1E-B085-4AF8-A271-BCF29DB5EEB2}"/>
    <cellStyle name="Standaard 3" xfId="4" xr:uid="{1191DA63-35C8-47A6-8FA4-ADEC90053948}"/>
    <cellStyle name="Standaard 4" xfId="8" xr:uid="{E0C568CA-1DE7-4DB2-A939-8C78CABC9B99}"/>
    <cellStyle name="Standaard 5" xfId="10" xr:uid="{7FCF4268-293E-4A78-885F-84384BFAEBF6}"/>
    <cellStyle name="Standaard 6" xfId="12" xr:uid="{56CE5127-17C3-49B0-A2AE-2215E08A3876}"/>
  </cellStyles>
  <dxfs count="1"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00FF"/>
      <color rgb="FFFF9393"/>
      <color rgb="FFFF7D7D"/>
      <color rgb="FFFF7979"/>
      <color rgb="FFCD73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3</xdr:row>
      <xdr:rowOff>7620</xdr:rowOff>
    </xdr:from>
    <xdr:to>
      <xdr:col>9</xdr:col>
      <xdr:colOff>389439</xdr:colOff>
      <xdr:row>7</xdr:row>
      <xdr:rowOff>108693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1436C5F5-3C64-3A6C-181C-CDDE269F2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510540"/>
          <a:ext cx="5868219" cy="7716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333932</xdr:colOff>
      <xdr:row>20</xdr:row>
      <xdr:rowOff>95527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DEC89460-E8C3-D28B-028D-57BE45497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43050"/>
          <a:ext cx="3991532" cy="19814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9525</xdr:rowOff>
    </xdr:from>
    <xdr:to>
      <xdr:col>6</xdr:col>
      <xdr:colOff>181511</xdr:colOff>
      <xdr:row>37</xdr:row>
      <xdr:rowOff>95597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5967D183-7718-8C11-0FF1-7D6CFFE08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952875"/>
          <a:ext cx="3839111" cy="2486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4</xdr:col>
      <xdr:colOff>67025</xdr:colOff>
      <xdr:row>75</xdr:row>
      <xdr:rowOff>86598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72F4995-9D6C-851B-2744-02635B8BB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686550"/>
          <a:ext cx="2505425" cy="625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jeroen.nl/dynamische-energie/aanbieders" TargetMode="External"/><Relationship Id="rId2" Type="http://schemas.openxmlformats.org/officeDocument/2006/relationships/hyperlink" Target="https://www.overstappen.nl/energie/energieprijzen/terugleverkosten/" TargetMode="External"/><Relationship Id="rId1" Type="http://schemas.openxmlformats.org/officeDocument/2006/relationships/hyperlink" Target="https://www.zonneplan.nl/energie/zonnepanelen/hoe-hoog-zijn-terugleverkost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F738-BA5B-47F3-85FA-1969081A199F}">
  <dimension ref="B1:AO87"/>
  <sheetViews>
    <sheetView tabSelected="1" zoomScale="70" zoomScaleNormal="70" workbookViewId="0">
      <pane ySplit="2" topLeftCell="A3" activePane="bottomLeft" state="frozen"/>
      <selection activeCell="D1" sqref="D1"/>
      <selection pane="bottomLeft" activeCell="S18" sqref="S18"/>
    </sheetView>
  </sheetViews>
  <sheetFormatPr defaultColWidth="8.88671875" defaultRowHeight="13.2" x14ac:dyDescent="0.25"/>
  <cols>
    <col min="1" max="1" width="1.21875" style="3" customWidth="1"/>
    <col min="2" max="2" width="30.5546875" style="3" bestFit="1" customWidth="1"/>
    <col min="3" max="3" width="10.88671875" style="3" bestFit="1" customWidth="1"/>
    <col min="4" max="4" width="9.6640625" style="3" bestFit="1" customWidth="1"/>
    <col min="5" max="5" width="8.88671875" style="3" bestFit="1" customWidth="1"/>
    <col min="6" max="6" width="7.5546875" style="3" customWidth="1"/>
    <col min="7" max="23" width="9.6640625" style="3" customWidth="1"/>
    <col min="24" max="34" width="9.6640625" style="21" customWidth="1"/>
    <col min="35" max="35" width="9.6640625" style="3" customWidth="1"/>
    <col min="36" max="40" width="9.6640625" style="21" customWidth="1"/>
    <col min="41" max="16384" width="8.88671875" style="3"/>
  </cols>
  <sheetData>
    <row r="1" spans="2:40" ht="109.95" customHeight="1" x14ac:dyDescent="0.25">
      <c r="B1" s="16" t="str">
        <f>"Verbruik: "&amp;$F$55&amp;", Teruglevering: "&amp;$F$56</f>
        <v>Verbruik: 1200, Teruglevering: 2000</v>
      </c>
      <c r="C1" s="16" t="s">
        <v>180</v>
      </c>
      <c r="D1" s="73" t="s">
        <v>119</v>
      </c>
      <c r="E1" s="78" t="s">
        <v>174</v>
      </c>
      <c r="F1" s="16" t="s">
        <v>37</v>
      </c>
      <c r="G1" s="4" t="s">
        <v>12</v>
      </c>
      <c r="H1" s="4" t="s">
        <v>13</v>
      </c>
      <c r="I1" s="4" t="s">
        <v>57</v>
      </c>
      <c r="J1" s="4" t="s">
        <v>4</v>
      </c>
      <c r="K1" s="4" t="s">
        <v>192</v>
      </c>
      <c r="L1" s="4" t="s">
        <v>58</v>
      </c>
      <c r="M1" s="4" t="s">
        <v>59</v>
      </c>
      <c r="N1" s="4" t="s">
        <v>60</v>
      </c>
      <c r="O1" s="4" t="s">
        <v>61</v>
      </c>
      <c r="P1" s="4" t="s">
        <v>62</v>
      </c>
      <c r="Q1" s="4" t="s">
        <v>63</v>
      </c>
      <c r="R1" s="4" t="s">
        <v>14</v>
      </c>
      <c r="S1" s="4" t="s">
        <v>15</v>
      </c>
      <c r="T1" s="4" t="s">
        <v>193</v>
      </c>
      <c r="U1" s="4" t="s">
        <v>194</v>
      </c>
      <c r="V1" s="4" t="s">
        <v>33</v>
      </c>
      <c r="W1" s="4" t="s">
        <v>55</v>
      </c>
      <c r="X1" s="4" t="s">
        <v>56</v>
      </c>
      <c r="Y1" s="4" t="s">
        <v>185</v>
      </c>
      <c r="Z1" s="4" t="s">
        <v>196</v>
      </c>
      <c r="AA1" s="4" t="s">
        <v>11</v>
      </c>
      <c r="AB1" s="8"/>
      <c r="AJ1" s="3"/>
      <c r="AK1" s="3"/>
      <c r="AL1" s="3"/>
      <c r="AM1" s="3"/>
      <c r="AN1" s="3"/>
    </row>
    <row r="2" spans="2:40" ht="4.95" customHeight="1" x14ac:dyDescent="0.25">
      <c r="B2" s="16"/>
      <c r="C2" s="16"/>
      <c r="D2" s="73"/>
      <c r="E2" s="73"/>
      <c r="F2" s="16"/>
      <c r="G2" s="7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3"/>
      <c r="AJ2" s="3"/>
      <c r="AK2" s="3"/>
      <c r="AL2" s="3"/>
      <c r="AM2" s="3"/>
      <c r="AN2" s="3"/>
    </row>
    <row r="3" spans="2:40" x14ac:dyDescent="0.25">
      <c r="B3" s="54" t="s">
        <v>172</v>
      </c>
      <c r="C3" s="5" t="s">
        <v>183</v>
      </c>
      <c r="D3" s="74"/>
      <c r="E3" s="80">
        <v>1</v>
      </c>
      <c r="F3" s="55">
        <v>45746</v>
      </c>
      <c r="G3" s="12">
        <f>I3+J3+IF(teruglevering&gt;0,1,0)*K3+IF(verbruik&gt;teruglevering,verbruik-teruglevering,0)*L3+R3+T3+IF(teruglevering-verbruik&gt;0,teruglevering-verbruik,0)*O3+S3+U3+energiebelasting*IF(verbruik&gt;teruglevering,verbruik-teruglevering,0)+Y3+Z3+teruglevering*AA3+teruggaaf+netbeheer</f>
        <v>-69.529650000000004</v>
      </c>
      <c r="H3" s="12">
        <f>G3/12</f>
        <v>-5.7941375000000006</v>
      </c>
      <c r="I3" s="61"/>
      <c r="J3" s="13">
        <f>0.29569*365</f>
        <v>107.92685</v>
      </c>
      <c r="K3" s="13"/>
      <c r="L3" s="62">
        <f>M3*$J$55/($J$55+$K$55)+N3*$K$55/($J$55+$K$55)</f>
        <v>0.3317755</v>
      </c>
      <c r="M3" s="14">
        <v>0.34343000000000001</v>
      </c>
      <c r="N3" s="14">
        <v>0.32224000000000003</v>
      </c>
      <c r="O3" s="63">
        <f>P3*$J$56/($J$56+$K$56)+Q3*$K$56/($J$56+$K$56)</f>
        <v>-0.02</v>
      </c>
      <c r="P3" s="15">
        <v>-0.02</v>
      </c>
      <c r="Q3" s="15">
        <v>-0.02</v>
      </c>
      <c r="R3" s="77">
        <v>0</v>
      </c>
      <c r="S3" s="77">
        <v>0</v>
      </c>
      <c r="T3" s="77">
        <f>V3*verbruik</f>
        <v>0</v>
      </c>
      <c r="U3" s="77">
        <f>IF(verbruik&gt;teruglevering,W3*teruglevering,W3*verbruik+X3*(teruglevering-verbruik))</f>
        <v>0</v>
      </c>
      <c r="V3" s="14">
        <v>0</v>
      </c>
      <c r="W3" s="15">
        <v>0</v>
      </c>
      <c r="X3" s="14">
        <v>0</v>
      </c>
      <c r="Y3" s="62">
        <v>0</v>
      </c>
      <c r="Z3" s="62">
        <v>0</v>
      </c>
      <c r="AA3" s="14">
        <v>0</v>
      </c>
      <c r="AB3" s="105"/>
      <c r="AC3" s="3"/>
      <c r="AD3" s="3"/>
      <c r="AE3" s="3"/>
      <c r="AF3" s="9"/>
      <c r="AG3" s="3"/>
      <c r="AH3" s="3"/>
      <c r="AI3" s="22"/>
      <c r="AJ3" s="88"/>
      <c r="AK3" s="3"/>
      <c r="AL3" s="3"/>
      <c r="AM3" s="3"/>
      <c r="AN3" s="3"/>
    </row>
    <row r="4" spans="2:40" x14ac:dyDescent="0.25">
      <c r="B4" s="54" t="s">
        <v>154</v>
      </c>
      <c r="C4" s="5" t="s">
        <v>181</v>
      </c>
      <c r="D4" s="74"/>
      <c r="E4" s="79">
        <v>1</v>
      </c>
      <c r="F4" s="55">
        <v>45781</v>
      </c>
      <c r="G4" s="12">
        <f>I4+J4+IF(teruglevering&gt;0,1,0)*K4+IF(verbruik&gt;teruglevering,verbruik-teruglevering,0)*L4+R4+T4+IF(teruglevering-verbruik&gt;0,teruglevering-verbruik,0)*O4+S4+U4+energiebelasting*IF(verbruik&gt;teruglevering,verbruik-teruglevering,0)+Y4+Z4+teruglevering*AA4+teruggaaf+netbeheer</f>
        <v>-40.000124478732857</v>
      </c>
      <c r="H4" s="12">
        <f>G4/12</f>
        <v>-3.3333437065610716</v>
      </c>
      <c r="I4" s="61"/>
      <c r="J4" s="13">
        <f>4.13*12</f>
        <v>49.56</v>
      </c>
      <c r="K4" s="13"/>
      <c r="L4" s="62">
        <f>M4*$J$55/($J$55+$K$55)+N4*$K$55/($J$55+$K$55)</f>
        <v>0</v>
      </c>
      <c r="M4" s="14">
        <v>0</v>
      </c>
      <c r="N4" s="14">
        <v>0</v>
      </c>
      <c r="O4" s="63">
        <f>P4*$J$56/($J$56+$K$56)+Q4*$K$56/($J$56+$K$56)</f>
        <v>0</v>
      </c>
      <c r="P4" s="15">
        <v>0</v>
      </c>
      <c r="Q4" s="15">
        <v>0</v>
      </c>
      <c r="R4" s="77">
        <f>SUM(G$76:G$87)</f>
        <v>143.15621138959955</v>
      </c>
      <c r="S4" s="77">
        <f>SUM(H$76:H$87)</f>
        <v>-71.259835868332331</v>
      </c>
      <c r="T4" s="77">
        <f>V4*verbruik</f>
        <v>40.68</v>
      </c>
      <c r="U4" s="77">
        <f>IF(verbruik&gt;teruglevering,W4*teruglevering,W4*verbruik+X4*(teruglevering-verbruik))</f>
        <v>-40.68</v>
      </c>
      <c r="V4" s="14">
        <v>3.39E-2</v>
      </c>
      <c r="W4" s="15">
        <v>-3.39E-2</v>
      </c>
      <c r="X4" s="14">
        <v>0</v>
      </c>
      <c r="Y4" s="64">
        <v>0</v>
      </c>
      <c r="Z4" s="64">
        <v>0</v>
      </c>
      <c r="AA4" s="14">
        <v>0</v>
      </c>
      <c r="AB4" s="105" t="s">
        <v>210</v>
      </c>
      <c r="AC4" s="3"/>
      <c r="AD4" s="3"/>
      <c r="AE4" s="3"/>
      <c r="AF4" s="9"/>
      <c r="AG4" s="3"/>
      <c r="AI4" s="22"/>
      <c r="AJ4" s="88"/>
      <c r="AL4" s="89"/>
      <c r="AM4" s="3"/>
      <c r="AN4" s="3"/>
    </row>
    <row r="5" spans="2:40" x14ac:dyDescent="0.25">
      <c r="B5" s="54" t="s">
        <v>153</v>
      </c>
      <c r="C5" s="5" t="s">
        <v>181</v>
      </c>
      <c r="D5" s="74">
        <v>30000</v>
      </c>
      <c r="E5" s="79">
        <v>1</v>
      </c>
      <c r="F5" s="55">
        <v>45781</v>
      </c>
      <c r="G5" s="12">
        <f>I5+J5+IF(teruglevering&gt;0,1,0)*K5+IF(verbruik&gt;teruglevering,verbruik-teruglevering,0)*L5+R5+T5+IF(teruglevering-verbruik&gt;0,teruglevering-verbruik,0)*O5+S5+U5+energiebelasting*IF(verbruik&gt;teruglevering,verbruik-teruglevering,0)+Y5+Z5+teruglevering*AA5+teruggaaf+netbeheer</f>
        <v>-37.524124478732858</v>
      </c>
      <c r="H5" s="12">
        <f>G5/12</f>
        <v>-3.1270103732277383</v>
      </c>
      <c r="I5" s="61"/>
      <c r="J5" s="13">
        <f>5.99*12</f>
        <v>71.88</v>
      </c>
      <c r="K5" s="13"/>
      <c r="L5" s="62">
        <f>M5*$J$55/($J$55+$K$55)+N5*$K$55/($J$55+$K$55)</f>
        <v>0</v>
      </c>
      <c r="M5" s="14">
        <v>0</v>
      </c>
      <c r="N5" s="14">
        <v>0</v>
      </c>
      <c r="O5" s="63">
        <f>P5*$J$56/($J$56+$K$56)+Q5*$K$56/($J$56+$K$56)</f>
        <v>0</v>
      </c>
      <c r="P5" s="15">
        <v>0</v>
      </c>
      <c r="Q5" s="15">
        <v>0</v>
      </c>
      <c r="R5" s="77">
        <f>SUM(G$76:G$87)</f>
        <v>143.15621138959955</v>
      </c>
      <c r="S5" s="77">
        <f>SUM(H$76:H$87)</f>
        <v>-71.259835868332331</v>
      </c>
      <c r="T5" s="77">
        <f>V5*verbruik</f>
        <v>29.766000000000002</v>
      </c>
      <c r="U5" s="77">
        <f>IF(verbruik&gt;teruglevering,W5*teruglevering,W5*verbruik+X5*(teruglevering-verbruik))</f>
        <v>-49.61</v>
      </c>
      <c r="V5" s="14">
        <v>2.4805000000000001E-2</v>
      </c>
      <c r="W5" s="15">
        <v>-2.4805000000000001E-2</v>
      </c>
      <c r="X5" s="15">
        <v>-2.4805000000000001E-2</v>
      </c>
      <c r="Y5" s="64">
        <v>0</v>
      </c>
      <c r="Z5" s="64">
        <v>0</v>
      </c>
      <c r="AA5" s="14">
        <v>0</v>
      </c>
      <c r="AB5" s="105"/>
      <c r="AC5" s="3"/>
      <c r="AD5" s="3"/>
      <c r="AE5" s="3"/>
      <c r="AF5" s="9"/>
      <c r="AG5" s="3"/>
      <c r="AI5" s="22"/>
      <c r="AJ5" s="22"/>
      <c r="AK5" s="89"/>
      <c r="AL5" s="89"/>
      <c r="AM5" s="89"/>
      <c r="AN5" s="82"/>
    </row>
    <row r="6" spans="2:40" x14ac:dyDescent="0.25">
      <c r="B6" s="54" t="s">
        <v>151</v>
      </c>
      <c r="C6" s="5" t="s">
        <v>181</v>
      </c>
      <c r="D6" s="74">
        <v>30000</v>
      </c>
      <c r="E6" s="80">
        <v>0</v>
      </c>
      <c r="F6" s="55">
        <v>45781</v>
      </c>
      <c r="G6" s="12">
        <f>I6+J6+IF(teruglevering&gt;0,1,0)*K6+IF(verbruik&gt;teruglevering,verbruik-teruglevering,0)*L6+R6+T6+IF(teruglevering-verbruik&gt;0,teruglevering-verbruik,0)*O6+S6+U6+energiebelasting*IF(verbruik&gt;teruglevering,verbruik-teruglevering,0)+Y6+Z6+teruglevering*AA6+teruggaaf+netbeheer</f>
        <v>-30.56012447873286</v>
      </c>
      <c r="H6" s="12">
        <f>G6/12</f>
        <v>-2.546677039894405</v>
      </c>
      <c r="I6" s="61"/>
      <c r="J6" s="13">
        <f>6.25*12</f>
        <v>75</v>
      </c>
      <c r="K6" s="13"/>
      <c r="L6" s="62">
        <f>M6*$J$55/($J$55+$K$55)+N6*$K$55/($J$55+$K$55)</f>
        <v>0</v>
      </c>
      <c r="M6" s="14">
        <v>0</v>
      </c>
      <c r="N6" s="14">
        <v>0</v>
      </c>
      <c r="O6" s="63">
        <f>P6*$J$56/($J$56+$K$56)+Q6*$K$56/($J$56+$K$56)</f>
        <v>0</v>
      </c>
      <c r="P6" s="15">
        <v>0</v>
      </c>
      <c r="Q6" s="15">
        <v>0</v>
      </c>
      <c r="R6" s="77">
        <f>SUM(G$76:G$87)</f>
        <v>143.15621138959955</v>
      </c>
      <c r="S6" s="77">
        <f>SUM(H$76:H$87)</f>
        <v>-71.259835868332331</v>
      </c>
      <c r="T6" s="77">
        <f>V6*verbruik</f>
        <v>24</v>
      </c>
      <c r="U6" s="77">
        <f>IF(verbruik&gt;teruglevering,W6*teruglevering,W6*verbruik+X6*(teruglevering-verbruik))</f>
        <v>-40</v>
      </c>
      <c r="V6" s="14">
        <v>0.02</v>
      </c>
      <c r="W6" s="15">
        <v>-0.02</v>
      </c>
      <c r="X6" s="15">
        <v>-0.02</v>
      </c>
      <c r="Y6" s="64">
        <v>0</v>
      </c>
      <c r="Z6" s="64">
        <v>0</v>
      </c>
      <c r="AA6" s="14">
        <v>0</v>
      </c>
      <c r="AB6" s="105"/>
      <c r="AC6" s="3"/>
      <c r="AD6" s="3"/>
      <c r="AE6" s="3"/>
      <c r="AF6" s="9"/>
      <c r="AG6" s="3"/>
      <c r="AI6" s="22"/>
      <c r="AJ6" s="88"/>
      <c r="AK6" s="3"/>
      <c r="AL6" s="3"/>
      <c r="AM6" s="3"/>
      <c r="AN6" s="3"/>
    </row>
    <row r="7" spans="2:40" x14ac:dyDescent="0.25">
      <c r="B7" s="54" t="s">
        <v>147</v>
      </c>
      <c r="C7" s="5" t="s">
        <v>181</v>
      </c>
      <c r="D7" s="74"/>
      <c r="E7" s="79">
        <v>0</v>
      </c>
      <c r="F7" s="55">
        <v>45781</v>
      </c>
      <c r="G7" s="12">
        <f>I7+J7+IF(teruglevering&gt;0,1,0)*K7+IF(verbruik&gt;teruglevering,verbruik-teruglevering,0)*L7+R7+T7+IF(teruglevering-verbruik&gt;0,teruglevering-verbruik,0)*O7+S7+U7+energiebelasting*IF(verbruik&gt;teruglevering,verbruik-teruglevering,0)+Y7+Z7+teruglevering*AA7+teruggaaf+netbeheer</f>
        <v>-19.760124478732848</v>
      </c>
      <c r="H7" s="12">
        <f>G7/12</f>
        <v>-1.6466770398944039</v>
      </c>
      <c r="I7" s="61"/>
      <c r="J7" s="13">
        <f>5*12</f>
        <v>60</v>
      </c>
      <c r="K7" s="13"/>
      <c r="L7" s="62">
        <f>M7*$J$55/($J$55+$K$55)+N7*$K$55/($J$55+$K$55)</f>
        <v>0</v>
      </c>
      <c r="M7" s="14">
        <v>0</v>
      </c>
      <c r="N7" s="14">
        <v>0</v>
      </c>
      <c r="O7" s="63">
        <f>P7*$J$56/($J$56+$K$56)+Q7*$K$56/($J$56+$K$56)</f>
        <v>0</v>
      </c>
      <c r="P7" s="15">
        <v>0</v>
      </c>
      <c r="Q7" s="15">
        <v>0</v>
      </c>
      <c r="R7" s="77">
        <f>SUM(G$76:G$87)</f>
        <v>143.15621138959955</v>
      </c>
      <c r="S7" s="77">
        <f>SUM(H$76:H$87)</f>
        <v>-71.259835868332331</v>
      </c>
      <c r="T7" s="77">
        <f>V7*verbruik</f>
        <v>39</v>
      </c>
      <c r="U7" s="77">
        <f>IF(verbruik&gt;teruglevering,W7*teruglevering,W7*verbruik+X7*(teruglevering-verbruik))</f>
        <v>-29.2</v>
      </c>
      <c r="V7" s="14">
        <v>3.2500000000000001E-2</v>
      </c>
      <c r="W7" s="15">
        <v>-1.46E-2</v>
      </c>
      <c r="X7" s="15">
        <v>-1.46E-2</v>
      </c>
      <c r="Y7" s="64">
        <v>0</v>
      </c>
      <c r="Z7" s="64">
        <v>0</v>
      </c>
      <c r="AA7" s="14">
        <v>0</v>
      </c>
      <c r="AB7" s="105" t="s">
        <v>210</v>
      </c>
      <c r="AC7" s="3"/>
      <c r="AD7" s="3"/>
      <c r="AE7" s="3"/>
      <c r="AF7" s="9"/>
      <c r="AG7" s="3"/>
      <c r="AI7" s="22"/>
      <c r="AJ7" s="88"/>
      <c r="AK7" s="89"/>
      <c r="AL7" s="89"/>
      <c r="AM7" s="89"/>
      <c r="AN7" s="82"/>
    </row>
    <row r="8" spans="2:40" x14ac:dyDescent="0.25">
      <c r="B8" s="54" t="s">
        <v>146</v>
      </c>
      <c r="C8" s="5" t="s">
        <v>181</v>
      </c>
      <c r="D8" s="74">
        <v>30000</v>
      </c>
      <c r="E8" s="79">
        <v>0.125</v>
      </c>
      <c r="F8" s="55">
        <v>45781</v>
      </c>
      <c r="G8" s="12">
        <f>I8+J8+IF(teruglevering&gt;0,1,0)*K8+IF(verbruik&gt;teruglevering,verbruik-teruglevering,0)*L8+R8+T8+IF(teruglevering-verbruik&gt;0,teruglevering-verbruik,0)*O8+S8+U8+energiebelasting*IF(verbruik&gt;teruglevering,verbruik-teruglevering,0)+Y8+Z8+teruglevering*AA8+teruggaaf+netbeheer</f>
        <v>-17.692124478732865</v>
      </c>
      <c r="H8" s="12">
        <f>G8/12</f>
        <v>-1.4743437065610721</v>
      </c>
      <c r="I8" s="61"/>
      <c r="J8" s="13">
        <f>5.99*12</f>
        <v>71.88</v>
      </c>
      <c r="K8" s="13"/>
      <c r="L8" s="62">
        <f>M8*$J$55/($J$55+$K$55)+N8*$K$55/($J$55+$K$55)</f>
        <v>0</v>
      </c>
      <c r="M8" s="14">
        <v>0</v>
      </c>
      <c r="N8" s="14">
        <v>0</v>
      </c>
      <c r="O8" s="63">
        <f>P8*$J$56/($J$56+$K$56)+Q8*$K$56/($J$56+$K$56)</f>
        <v>0</v>
      </c>
      <c r="P8" s="15">
        <v>0</v>
      </c>
      <c r="Q8" s="15">
        <v>0</v>
      </c>
      <c r="R8" s="77">
        <f>SUM(G$76:G$87)</f>
        <v>143.15621138959955</v>
      </c>
      <c r="S8" s="77">
        <f>SUM(H$76:H$87)</f>
        <v>-71.259835868332331</v>
      </c>
      <c r="T8" s="77">
        <f>V8*verbruik</f>
        <v>25.188000000000002</v>
      </c>
      <c r="U8" s="77">
        <f>IF(verbruik&gt;teruglevering,W8*teruglevering,W8*verbruik+X8*(teruglevering-verbruik))</f>
        <v>-25.200000000000003</v>
      </c>
      <c r="V8" s="14">
        <v>2.0990000000000002E-2</v>
      </c>
      <c r="W8" s="15">
        <v>-2.1000000000000001E-2</v>
      </c>
      <c r="X8" s="14">
        <v>0</v>
      </c>
      <c r="Y8" s="64">
        <v>0</v>
      </c>
      <c r="Z8" s="64">
        <v>0</v>
      </c>
      <c r="AA8" s="14">
        <v>0</v>
      </c>
      <c r="AB8" s="105" t="s">
        <v>210</v>
      </c>
      <c r="AC8" s="3"/>
      <c r="AD8" s="3"/>
      <c r="AE8" s="3"/>
      <c r="AF8" s="9"/>
      <c r="AG8" s="3"/>
      <c r="AI8" s="22"/>
      <c r="AJ8" s="88"/>
      <c r="AK8" s="3"/>
      <c r="AL8" s="3"/>
      <c r="AM8" s="3"/>
      <c r="AN8" s="3"/>
    </row>
    <row r="9" spans="2:40" x14ac:dyDescent="0.25">
      <c r="B9" s="54" t="s">
        <v>156</v>
      </c>
      <c r="C9" s="5" t="s">
        <v>181</v>
      </c>
      <c r="D9" s="74"/>
      <c r="E9" s="79">
        <v>1</v>
      </c>
      <c r="F9" s="55">
        <v>45781</v>
      </c>
      <c r="G9" s="12">
        <f>I9+J9+IF(teruglevering&gt;0,1,0)*K9+IF(verbruik&gt;teruglevering,verbruik-teruglevering,0)*L9+R9+T9+IF(teruglevering-verbruik&gt;0,teruglevering-verbruik,0)*O9+S9+U9+energiebelasting*IF(verbruik&gt;teruglevering,verbruik-teruglevering,0)+Y9+Z9+teruglevering*AA9+teruggaaf+netbeheer</f>
        <v>-15.160124478732826</v>
      </c>
      <c r="H9" s="12">
        <f>G9/12</f>
        <v>-1.2633437065610689</v>
      </c>
      <c r="I9" s="61"/>
      <c r="J9" s="13">
        <f>6.2*12</f>
        <v>74.400000000000006</v>
      </c>
      <c r="K9" s="13"/>
      <c r="L9" s="62">
        <f>M9*$J$55/($J$55+$K$55)+N9*$K$55/($J$55+$K$55)</f>
        <v>0</v>
      </c>
      <c r="M9" s="14">
        <v>0</v>
      </c>
      <c r="N9" s="14">
        <v>0</v>
      </c>
      <c r="O9" s="63">
        <f>P9*$J$56/($J$56+$K$56)+Q9*$K$56/($J$56+$K$56)</f>
        <v>0</v>
      </c>
      <c r="P9" s="15">
        <v>0</v>
      </c>
      <c r="Q9" s="15">
        <v>0</v>
      </c>
      <c r="R9" s="77">
        <f>SUM(G$76:G$87)</f>
        <v>143.15621138959955</v>
      </c>
      <c r="S9" s="77">
        <f>SUM(H$76:H$87)</f>
        <v>-71.259835868332331</v>
      </c>
      <c r="T9" s="77">
        <f>V9*verbruik</f>
        <v>27.240000000000002</v>
      </c>
      <c r="U9" s="77">
        <f>IF(verbruik&gt;teruglevering,W9*teruglevering,W9*verbruik+X9*(teruglevering-verbruik))</f>
        <v>-27.240000000000002</v>
      </c>
      <c r="V9" s="14">
        <v>2.2700000000000001E-2</v>
      </c>
      <c r="W9" s="15">
        <v>-2.2700000000000001E-2</v>
      </c>
      <c r="X9" s="14">
        <v>0</v>
      </c>
      <c r="Y9" s="64">
        <v>0</v>
      </c>
      <c r="Z9" s="64">
        <v>0</v>
      </c>
      <c r="AA9" s="14">
        <v>0</v>
      </c>
      <c r="AB9" s="105" t="s">
        <v>218</v>
      </c>
      <c r="AC9" s="3"/>
      <c r="AD9" s="3"/>
      <c r="AE9" s="3"/>
      <c r="AF9" s="9"/>
      <c r="AG9" s="3"/>
      <c r="AI9" s="22"/>
      <c r="AJ9" s="88"/>
      <c r="AK9" s="89"/>
      <c r="AL9" s="89"/>
      <c r="AM9" s="89"/>
      <c r="AN9" s="82"/>
    </row>
    <row r="10" spans="2:40" x14ac:dyDescent="0.25">
      <c r="B10" s="54" t="s">
        <v>179</v>
      </c>
      <c r="C10" s="5" t="s">
        <v>181</v>
      </c>
      <c r="D10" s="74">
        <v>30000</v>
      </c>
      <c r="E10" s="79">
        <v>1</v>
      </c>
      <c r="F10" s="55">
        <v>45781</v>
      </c>
      <c r="G10" s="12">
        <f>I10+J10+IF(teruglevering&gt;0,1,0)*K10+IF(verbruik&gt;teruglevering,verbruik-teruglevering,0)*L10+R10+T10+IF(teruglevering-verbruik&gt;0,teruglevering-verbruik,0)*O10+S10+U10+energiebelasting*IF(verbruik&gt;teruglevering,verbruik-teruglevering,0)+Y10+Z10+teruglevering*AA10+teruggaaf+netbeheer</f>
        <v>-15.040124478732878</v>
      </c>
      <c r="H10" s="12">
        <f>G10/12</f>
        <v>-1.2533437065610731</v>
      </c>
      <c r="I10" s="61"/>
      <c r="J10" s="13">
        <f>6.21*12</f>
        <v>74.52</v>
      </c>
      <c r="K10" s="13"/>
      <c r="L10" s="62">
        <f>M10*$J$55/($J$55+$K$55)+N10*$K$55/($J$55+$K$55)</f>
        <v>0</v>
      </c>
      <c r="M10" s="14">
        <v>0</v>
      </c>
      <c r="N10" s="14">
        <v>0</v>
      </c>
      <c r="O10" s="63">
        <f>P10*$J$56/($J$56+$K$56)+Q10*$K$56/($J$56+$K$56)</f>
        <v>0</v>
      </c>
      <c r="P10" s="15">
        <v>0</v>
      </c>
      <c r="Q10" s="15">
        <v>0</v>
      </c>
      <c r="R10" s="77">
        <f>SUM(G$76:G$87)</f>
        <v>143.15621138959955</v>
      </c>
      <c r="S10" s="77">
        <f>SUM(H$76:H$87)</f>
        <v>-71.259835868332331</v>
      </c>
      <c r="T10" s="77">
        <f>V10*verbruik</f>
        <v>40.655999999999999</v>
      </c>
      <c r="U10" s="77">
        <f>IF(verbruik&gt;teruglevering,W10*teruglevering,W10*verbruik+X10*(teruglevering-verbruik))</f>
        <v>-40.655999999999999</v>
      </c>
      <c r="V10" s="14">
        <v>3.388E-2</v>
      </c>
      <c r="W10" s="15">
        <v>-3.388E-2</v>
      </c>
      <c r="X10" s="14">
        <v>0</v>
      </c>
      <c r="Y10" s="64">
        <v>0</v>
      </c>
      <c r="Z10" s="64">
        <v>0</v>
      </c>
      <c r="AA10" s="14">
        <v>0</v>
      </c>
      <c r="AB10" s="105" t="s">
        <v>210</v>
      </c>
      <c r="AC10" s="3"/>
      <c r="AD10" s="3"/>
      <c r="AE10" s="3"/>
      <c r="AF10" s="9"/>
      <c r="AG10" s="3"/>
      <c r="AI10" s="22"/>
      <c r="AJ10" s="88"/>
      <c r="AK10" s="89"/>
      <c r="AL10" s="89"/>
      <c r="AM10" s="89"/>
      <c r="AN10" s="82"/>
    </row>
    <row r="11" spans="2:40" x14ac:dyDescent="0.25">
      <c r="B11" s="54" t="s">
        <v>152</v>
      </c>
      <c r="C11" s="5" t="s">
        <v>181</v>
      </c>
      <c r="D11" s="74"/>
      <c r="E11" s="79">
        <v>1</v>
      </c>
      <c r="F11" s="55">
        <v>45781</v>
      </c>
      <c r="G11" s="12">
        <f>I11+J11+IF(teruglevering&gt;0,1,0)*K11+IF(verbruik&gt;teruglevering,verbruik-teruglevering,0)*L11+R11+T11+IF(teruglevering-verbruik&gt;0,teruglevering-verbruik,0)*O11+S11+U11+energiebelasting*IF(verbruik&gt;teruglevering,verbruik-teruglevering,0)+Y11+Z11+teruglevering*AA11+teruggaaf+netbeheer</f>
        <v>-14.560124478732803</v>
      </c>
      <c r="H11" s="12">
        <f>G11/12</f>
        <v>-1.2133437065610668</v>
      </c>
      <c r="I11" s="61"/>
      <c r="J11" s="13">
        <f>6.25*12</f>
        <v>75</v>
      </c>
      <c r="K11" s="13"/>
      <c r="L11" s="62">
        <f>M11*$J$55/($J$55+$K$55)+N11*$K$55/($J$55+$K$55)</f>
        <v>0</v>
      </c>
      <c r="M11" s="14">
        <v>0</v>
      </c>
      <c r="N11" s="14">
        <v>0</v>
      </c>
      <c r="O11" s="63">
        <f>P11*$J$56/($J$56+$K$56)+Q11*$K$56/($J$56+$K$56)</f>
        <v>0</v>
      </c>
      <c r="P11" s="15">
        <v>0</v>
      </c>
      <c r="Q11" s="15">
        <v>0</v>
      </c>
      <c r="R11" s="77">
        <f>SUM(G$76:G$87)</f>
        <v>143.15621138959955</v>
      </c>
      <c r="S11" s="77">
        <f>SUM(H$76:H$87)</f>
        <v>-71.259835868332331</v>
      </c>
      <c r="T11" s="77">
        <f>V11*verbruik</f>
        <v>26.256</v>
      </c>
      <c r="U11" s="77">
        <f>IF(verbruik&gt;teruglevering,W11*teruglevering,W11*verbruik+X11*(teruglevering-verbruik))</f>
        <v>-26.256</v>
      </c>
      <c r="V11" s="14">
        <v>2.188E-2</v>
      </c>
      <c r="W11" s="15">
        <v>-2.188E-2</v>
      </c>
      <c r="X11" s="14">
        <v>0</v>
      </c>
      <c r="Y11" s="64">
        <v>0</v>
      </c>
      <c r="Z11" s="64">
        <v>0</v>
      </c>
      <c r="AA11" s="14">
        <v>0</v>
      </c>
      <c r="AB11" s="105" t="s">
        <v>210</v>
      </c>
      <c r="AC11" s="3"/>
      <c r="AD11" s="3"/>
      <c r="AE11" s="3"/>
      <c r="AF11" s="9"/>
      <c r="AG11" s="3"/>
      <c r="AI11" s="22"/>
      <c r="AJ11" s="88"/>
      <c r="AK11" s="3"/>
      <c r="AL11" s="3"/>
      <c r="AM11" s="3"/>
      <c r="AN11" s="3"/>
    </row>
    <row r="12" spans="2:40" x14ac:dyDescent="0.25">
      <c r="B12" s="54" t="s">
        <v>158</v>
      </c>
      <c r="C12" s="5" t="s">
        <v>181</v>
      </c>
      <c r="D12" s="74">
        <v>2000</v>
      </c>
      <c r="E12" s="79"/>
      <c r="F12" s="55">
        <v>45735</v>
      </c>
      <c r="G12" s="12">
        <f>I12+J12+IF(teruglevering&gt;0,1,0)*K12+IF(verbruik&gt;teruglevering,verbruik-teruglevering,0)*L12+R12+T12+IF(teruglevering-verbruik&gt;0,teruglevering-verbruik,0)*O12+S12+U12+energiebelasting*IF(verbruik&gt;teruglevering,verbruik-teruglevering,0)+Y12+Z12+teruglevering*AA12+teruggaaf+netbeheer</f>
        <v>-11.680124478732864</v>
      </c>
      <c r="H12" s="12">
        <f>G12/12</f>
        <v>-0.97334370656107205</v>
      </c>
      <c r="I12" s="61"/>
      <c r="J12" s="13">
        <f>6.49*12</f>
        <v>77.88</v>
      </c>
      <c r="K12" s="13"/>
      <c r="L12" s="62">
        <f>M12*$J$55/($J$55+$K$55)+N12*$K$55/($J$55+$K$55)</f>
        <v>0</v>
      </c>
      <c r="M12" s="14">
        <v>0</v>
      </c>
      <c r="N12" s="14">
        <v>0</v>
      </c>
      <c r="O12" s="63">
        <f>P12*$J$56/($J$56+$K$56)+Q12*$K$56/($J$56+$K$56)</f>
        <v>0</v>
      </c>
      <c r="P12" s="15">
        <v>0</v>
      </c>
      <c r="Q12" s="15">
        <v>0</v>
      </c>
      <c r="R12" s="77">
        <f>SUM(G$76:G$87)</f>
        <v>143.15621138959955</v>
      </c>
      <c r="S12" s="77">
        <f>SUM(H$76:H$87)</f>
        <v>-71.259835868332331</v>
      </c>
      <c r="T12" s="77">
        <f>V12*verbruik</f>
        <v>40.68</v>
      </c>
      <c r="U12" s="77">
        <f>IF(verbruik&gt;teruglevering,W12*teruglevering,W12*verbruik+X12*(teruglevering-verbruik))</f>
        <v>-40.68</v>
      </c>
      <c r="V12" s="14">
        <v>3.39E-2</v>
      </c>
      <c r="W12" s="15">
        <v>-3.39E-2</v>
      </c>
      <c r="X12" s="14">
        <v>0</v>
      </c>
      <c r="Y12" s="64">
        <v>0</v>
      </c>
      <c r="Z12" s="64">
        <v>0</v>
      </c>
      <c r="AA12" s="14">
        <v>0</v>
      </c>
      <c r="AB12" s="105"/>
      <c r="AC12" s="3"/>
      <c r="AD12" s="3"/>
      <c r="AE12" s="3"/>
      <c r="AF12" s="9"/>
      <c r="AG12" s="3"/>
      <c r="AI12" s="22"/>
      <c r="AJ12" s="88"/>
      <c r="AK12" s="89"/>
      <c r="AL12" s="89"/>
      <c r="AM12" s="89"/>
      <c r="AN12" s="82"/>
    </row>
    <row r="13" spans="2:40" x14ac:dyDescent="0.25">
      <c r="B13" s="54" t="s">
        <v>159</v>
      </c>
      <c r="C13" s="5" t="s">
        <v>181</v>
      </c>
      <c r="D13" s="74"/>
      <c r="E13" s="79"/>
      <c r="F13" s="55">
        <v>45735</v>
      </c>
      <c r="G13" s="12">
        <f>I13+J13+IF(teruglevering&gt;0,1,0)*K13+IF(verbruik&gt;teruglevering,verbruik-teruglevering,0)*L13+R13+T13+IF(teruglevering-verbruik&gt;0,teruglevering-verbruik,0)*O13+S13+U13+energiebelasting*IF(verbruik&gt;teruglevering,verbruik-teruglevering,0)+Y13+Z13+teruglevering*AA13+teruggaaf+netbeheer</f>
        <v>-5.5601244787328596</v>
      </c>
      <c r="H13" s="12">
        <f>G13/12</f>
        <v>-0.46334370656107166</v>
      </c>
      <c r="I13" s="61"/>
      <c r="J13" s="13">
        <f>7*12</f>
        <v>84</v>
      </c>
      <c r="K13" s="13"/>
      <c r="L13" s="62">
        <f>M13*$J$55/($J$55+$K$55)+N13*$K$55/($J$55+$K$55)</f>
        <v>0</v>
      </c>
      <c r="M13" s="14">
        <v>0</v>
      </c>
      <c r="N13" s="14">
        <v>0</v>
      </c>
      <c r="O13" s="63">
        <f>P13*$J$56/($J$56+$K$56)+Q13*$K$56/($J$56+$K$56)</f>
        <v>0</v>
      </c>
      <c r="P13" s="15">
        <v>0</v>
      </c>
      <c r="Q13" s="15">
        <v>0</v>
      </c>
      <c r="R13" s="77">
        <f>SUM(G$76:G$87)</f>
        <v>143.15621138959955</v>
      </c>
      <c r="S13" s="77">
        <f>SUM(H$76:H$87)</f>
        <v>-71.259835868332331</v>
      </c>
      <c r="T13" s="77">
        <f>V13*verbruik</f>
        <v>40.68</v>
      </c>
      <c r="U13" s="77">
        <f>IF(verbruik&gt;teruglevering,W13*teruglevering,W13*verbruik+X13*(teruglevering-verbruik))</f>
        <v>-40.68</v>
      </c>
      <c r="V13" s="14">
        <v>3.39E-2</v>
      </c>
      <c r="W13" s="15">
        <v>-3.39E-2</v>
      </c>
      <c r="X13" s="14">
        <v>0</v>
      </c>
      <c r="Y13" s="64">
        <v>0</v>
      </c>
      <c r="Z13" s="64">
        <v>0</v>
      </c>
      <c r="AA13" s="14">
        <v>0</v>
      </c>
      <c r="AB13" s="105"/>
      <c r="AC13" s="3"/>
      <c r="AD13" s="3"/>
      <c r="AE13" s="3"/>
      <c r="AF13" s="9"/>
      <c r="AG13" s="3"/>
      <c r="AI13" s="22"/>
      <c r="AJ13" s="88"/>
      <c r="AK13" s="89"/>
      <c r="AL13" s="89"/>
      <c r="AM13" s="89"/>
      <c r="AN13" s="82"/>
    </row>
    <row r="14" spans="2:40" x14ac:dyDescent="0.25">
      <c r="B14" s="54" t="s">
        <v>163</v>
      </c>
      <c r="C14" s="5" t="s">
        <v>181</v>
      </c>
      <c r="D14" s="74">
        <v>130000</v>
      </c>
      <c r="E14" s="79">
        <v>1</v>
      </c>
      <c r="F14" s="55">
        <v>45781</v>
      </c>
      <c r="G14" s="12">
        <f>I14+J14+IF(teruglevering&gt;0,1,0)*K14+IF(verbruik&gt;teruglevering,verbruik-teruglevering,0)*L14+R14+T14+IF(teruglevering-verbruik&gt;0,teruglevering-verbruik,0)*O14+S14+U14+energiebelasting*IF(verbruik&gt;teruglevering,verbruik-teruglevering,0)+Y14+Z14+teruglevering*AA14+teruggaaf+netbeheer</f>
        <v>-5.4401244787328551</v>
      </c>
      <c r="H14" s="12">
        <f>G14/12</f>
        <v>-0.45334370656107126</v>
      </c>
      <c r="I14" s="61"/>
      <c r="J14" s="13">
        <f>7.01*12</f>
        <v>84.12</v>
      </c>
      <c r="K14" s="13"/>
      <c r="L14" s="62">
        <f>M14*$J$55/($J$55+$K$55)+N14*$K$55/($J$55+$K$55)</f>
        <v>0</v>
      </c>
      <c r="M14" s="14">
        <v>0</v>
      </c>
      <c r="N14" s="14">
        <v>0</v>
      </c>
      <c r="O14" s="63">
        <f>P14*$J$56/($J$56+$K$56)+Q14*$K$56/($J$56+$K$56)</f>
        <v>0</v>
      </c>
      <c r="P14" s="15">
        <v>0</v>
      </c>
      <c r="Q14" s="15">
        <v>0</v>
      </c>
      <c r="R14" s="77">
        <f>SUM(G$76:G$87)</f>
        <v>143.15621138959955</v>
      </c>
      <c r="S14" s="77">
        <f>SUM(H$76:H$87)</f>
        <v>-71.259835868332331</v>
      </c>
      <c r="T14" s="77">
        <f>V14*verbruik</f>
        <v>58.08</v>
      </c>
      <c r="U14" s="77">
        <f>IF(verbruik&gt;teruglevering,W14*teruglevering,W14*verbruik+X14*(teruglevering-verbruik))</f>
        <v>-58.08</v>
      </c>
      <c r="V14" s="14">
        <v>4.8399999999999999E-2</v>
      </c>
      <c r="W14" s="15">
        <v>-4.8399999999999999E-2</v>
      </c>
      <c r="X14" s="14">
        <v>0</v>
      </c>
      <c r="Y14" s="64">
        <v>0</v>
      </c>
      <c r="Z14" s="64">
        <v>0</v>
      </c>
      <c r="AA14" s="14">
        <v>0</v>
      </c>
      <c r="AB14" s="105" t="s">
        <v>210</v>
      </c>
      <c r="AC14" s="3"/>
      <c r="AD14" s="3"/>
      <c r="AE14" s="3"/>
      <c r="AF14" s="9"/>
      <c r="AG14" s="3"/>
      <c r="AI14" s="22"/>
      <c r="AJ14" s="88"/>
      <c r="AK14" s="89"/>
      <c r="AL14" s="89"/>
      <c r="AM14" s="89"/>
      <c r="AN14" s="82"/>
    </row>
    <row r="15" spans="2:40" x14ac:dyDescent="0.25">
      <c r="B15" s="54" t="s">
        <v>189</v>
      </c>
      <c r="C15" s="5" t="s">
        <v>181</v>
      </c>
      <c r="D15" s="74" t="s">
        <v>190</v>
      </c>
      <c r="E15" s="79">
        <v>1</v>
      </c>
      <c r="F15" s="55">
        <v>45781</v>
      </c>
      <c r="G15" s="12">
        <f>I15+J15+IF(teruglevering&gt;0,1,0)*K15+IF(verbruik&gt;teruglevering,verbruik-teruglevering,0)*L15+R15+T15+IF(teruglevering-verbruik&gt;0,teruglevering-verbruik,0)*O15+S15+U15+energiebelasting*IF(verbruik&gt;teruglevering,verbruik-teruglevering,0)+Y15+Z15+teruglevering*AA15+teruggaaf+netbeheer</f>
        <v>-3.2801244787328301</v>
      </c>
      <c r="H15" s="12">
        <f>G15/12</f>
        <v>-0.27334370656106916</v>
      </c>
      <c r="I15" s="61"/>
      <c r="J15" s="13">
        <f>5.99*12</f>
        <v>71.88</v>
      </c>
      <c r="K15" s="13"/>
      <c r="L15" s="62">
        <f>M15*$J$55/($J$55+$K$55)+N15*$K$55/($J$55+$K$55)</f>
        <v>0</v>
      </c>
      <c r="M15" s="14">
        <v>0</v>
      </c>
      <c r="N15" s="14">
        <v>0</v>
      </c>
      <c r="O15" s="63">
        <f>P15*$J$56/($J$56+$K$56)+Q15*$K$56/($J$56+$K$56)</f>
        <v>0</v>
      </c>
      <c r="P15" s="15">
        <v>0</v>
      </c>
      <c r="Q15" s="15">
        <v>0</v>
      </c>
      <c r="R15" s="77">
        <f>SUM(G$76:G$87)</f>
        <v>143.15621138959955</v>
      </c>
      <c r="S15" s="77">
        <f>SUM(H$76:H$87)</f>
        <v>-71.259835868332331</v>
      </c>
      <c r="T15" s="77">
        <f>V15*verbruik</f>
        <v>21.599999999999998</v>
      </c>
      <c r="U15" s="77">
        <f>IF(verbruik&gt;teruglevering,W15*teruglevering,W15*verbruik+X15*(teruglevering-verbruik))</f>
        <v>-7.1999999999999993</v>
      </c>
      <c r="V15" s="14">
        <v>1.7999999999999999E-2</v>
      </c>
      <c r="W15" s="15">
        <v>-1.7999999999999999E-2</v>
      </c>
      <c r="X15" s="14">
        <v>1.7999999999999999E-2</v>
      </c>
      <c r="Y15" s="64">
        <v>0</v>
      </c>
      <c r="Z15" s="64">
        <v>0</v>
      </c>
      <c r="AA15" s="14">
        <v>0</v>
      </c>
      <c r="AB15" s="105"/>
      <c r="AC15" s="3"/>
      <c r="AD15" s="3"/>
      <c r="AE15" s="3"/>
      <c r="AF15" s="9"/>
      <c r="AG15" s="3"/>
      <c r="AI15" s="22"/>
      <c r="AJ15" s="88"/>
      <c r="AK15" s="22"/>
      <c r="AL15" s="3"/>
      <c r="AM15" s="3"/>
      <c r="AN15" s="3"/>
    </row>
    <row r="16" spans="2:40" x14ac:dyDescent="0.25">
      <c r="B16" s="54" t="s">
        <v>138</v>
      </c>
      <c r="C16" s="5" t="s">
        <v>182</v>
      </c>
      <c r="D16" s="74"/>
      <c r="E16" s="79">
        <v>1</v>
      </c>
      <c r="F16" s="55">
        <v>45781</v>
      </c>
      <c r="G16" s="12">
        <f>I16+J16+IF(teruglevering&gt;0,1,0)*K16+IF(verbruik&gt;teruglevering,verbruik-teruglevering,0)*L16+R16+T16+IF(teruglevering-verbruik&gt;0,teruglevering-verbruik,0)*O16+S16+U16+energiebelasting*IF(verbruik&gt;teruglevering,verbruik-teruglevering,0)+Y16+Z16+teruglevering*AA16+teruggaaf+netbeheer</f>
        <v>-1.9665000000000532</v>
      </c>
      <c r="H16" s="12">
        <f>G16/12</f>
        <v>-0.16387500000000443</v>
      </c>
      <c r="I16" s="61">
        <v>-125</v>
      </c>
      <c r="J16" s="13">
        <f>8.33*12</f>
        <v>99.960000000000008</v>
      </c>
      <c r="K16" s="13"/>
      <c r="L16" s="62">
        <f>M16*$J$55/($J$55+$K$55)+N16*$K$55/($J$55+$K$55)</f>
        <v>0.1352275</v>
      </c>
      <c r="M16" s="14">
        <v>0.15486250000000001</v>
      </c>
      <c r="N16" s="14">
        <v>0.11916249999999999</v>
      </c>
      <c r="O16" s="63">
        <f>P16*$J$56/($J$56+$K$56)+Q16*$K$56/($J$56+$K$56)</f>
        <v>-0.1</v>
      </c>
      <c r="P16" s="15">
        <v>-0.1</v>
      </c>
      <c r="Q16" s="15">
        <v>-0.1</v>
      </c>
      <c r="R16" s="77">
        <v>0</v>
      </c>
      <c r="S16" s="77">
        <v>0</v>
      </c>
      <c r="T16" s="77">
        <f>V16*verbruik</f>
        <v>0</v>
      </c>
      <c r="U16" s="77">
        <f>IF(verbruik&gt;teruglevering,W16*teruglevering,W16*verbruik+X16*(teruglevering-verbruik))</f>
        <v>0</v>
      </c>
      <c r="V16" s="14">
        <v>0</v>
      </c>
      <c r="W16" s="15">
        <v>0</v>
      </c>
      <c r="X16" s="14">
        <v>0</v>
      </c>
      <c r="Y16" s="64">
        <f>_xlfn.XLOOKUP("Ja",Terugleverkosten!C:C,Terugleverkosten!O:O,0)</f>
        <v>264.52999999999997</v>
      </c>
      <c r="Z16" s="64">
        <v>0</v>
      </c>
      <c r="AA16" s="14"/>
      <c r="AB16" s="105" t="s">
        <v>205</v>
      </c>
      <c r="AC16" s="3"/>
      <c r="AD16" s="3"/>
      <c r="AE16" s="3"/>
      <c r="AF16" s="9"/>
      <c r="AG16" s="3"/>
      <c r="AI16" s="22"/>
      <c r="AJ16" s="88"/>
      <c r="AK16" s="3"/>
      <c r="AL16" s="3"/>
      <c r="AM16" s="3"/>
      <c r="AN16" s="3"/>
    </row>
    <row r="17" spans="2:41" x14ac:dyDescent="0.25">
      <c r="B17" s="54" t="s">
        <v>162</v>
      </c>
      <c r="C17" s="5" t="s">
        <v>181</v>
      </c>
      <c r="D17" s="74"/>
      <c r="E17" s="79">
        <v>0.94299999999999995</v>
      </c>
      <c r="F17" s="55">
        <v>45781</v>
      </c>
      <c r="G17" s="12">
        <f>I17+J17+IF(teruglevering&gt;0,1,0)*K17+IF(verbruik&gt;teruglevering,verbruik-teruglevering,0)*L17+R17+T17+IF(teruglevering-verbruik&gt;0,teruglevering-verbruik,0)*O17+S17+U17+energiebelasting*IF(verbruik&gt;teruglevering,verbruik-teruglevering,0)+Y17+Z17+teruglevering*AA17+teruggaaf+netbeheer</f>
        <v>0.43987552126714036</v>
      </c>
      <c r="H17" s="12">
        <f>G17/12</f>
        <v>3.6656293438928365E-2</v>
      </c>
      <c r="I17" s="61"/>
      <c r="J17" s="13">
        <f>7.5*12</f>
        <v>90</v>
      </c>
      <c r="K17" s="13"/>
      <c r="L17" s="62">
        <f>M17*$J$55/($J$55+$K$55)+N17*$K$55/($J$55+$K$55)</f>
        <v>0</v>
      </c>
      <c r="M17" s="14">
        <v>0</v>
      </c>
      <c r="N17" s="14">
        <v>0</v>
      </c>
      <c r="O17" s="63">
        <f>P17*$J$56/($J$56+$K$56)+Q17*$K$56/($J$56+$K$56)</f>
        <v>0</v>
      </c>
      <c r="P17" s="15">
        <v>0</v>
      </c>
      <c r="Q17" s="15">
        <v>0</v>
      </c>
      <c r="R17" s="77">
        <f>SUM(G$76:G$87)</f>
        <v>143.15621138959955</v>
      </c>
      <c r="S17" s="77">
        <f>SUM(H$76:H$87)</f>
        <v>-71.259835868332331</v>
      </c>
      <c r="T17" s="77">
        <f>V17*verbruik</f>
        <v>40.655999999999999</v>
      </c>
      <c r="U17" s="77">
        <f>IF(verbruik&gt;teruglevering,W17*teruglevering,W17*verbruik+X17*(teruglevering-verbruik))</f>
        <v>-40.655999999999999</v>
      </c>
      <c r="V17" s="14">
        <v>3.388E-2</v>
      </c>
      <c r="W17" s="15">
        <v>-3.388E-2</v>
      </c>
      <c r="X17" s="14">
        <v>0</v>
      </c>
      <c r="Y17" s="64">
        <v>0</v>
      </c>
      <c r="Z17" s="64">
        <v>0</v>
      </c>
      <c r="AA17" s="14">
        <v>0</v>
      </c>
      <c r="AB17" s="105" t="s">
        <v>224</v>
      </c>
      <c r="AC17" s="3"/>
      <c r="AD17" s="3"/>
      <c r="AE17" s="3"/>
      <c r="AF17" s="9"/>
      <c r="AG17" s="3"/>
      <c r="AI17" s="22"/>
      <c r="AJ17" s="88"/>
      <c r="AK17" s="89"/>
      <c r="AL17" s="89"/>
      <c r="AM17" s="89"/>
      <c r="AN17" s="82"/>
      <c r="AO17" s="89"/>
    </row>
    <row r="18" spans="2:41" x14ac:dyDescent="0.25">
      <c r="B18" s="54" t="s">
        <v>160</v>
      </c>
      <c r="C18" s="5" t="s">
        <v>181</v>
      </c>
      <c r="D18" s="74"/>
      <c r="E18" s="79">
        <v>1</v>
      </c>
      <c r="F18" s="55">
        <v>45781</v>
      </c>
      <c r="G18" s="12">
        <f>I18+J18+IF(teruglevering&gt;0,1,0)*K18+IF(verbruik&gt;teruglevering,verbruik-teruglevering,0)*L18+R18+T18+IF(teruglevering-verbruik&gt;0,teruglevering-verbruik,0)*O18+S18+U18+energiebelasting*IF(verbruik&gt;teruglevering,verbruik-teruglevering,0)+Y18+Z18+teruglevering*AA18+teruggaaf+netbeheer</f>
        <v>0.43987552126714036</v>
      </c>
      <c r="H18" s="12">
        <f>G18/12</f>
        <v>3.6656293438928365E-2</v>
      </c>
      <c r="I18" s="61"/>
      <c r="J18" s="13">
        <f>7.5*12</f>
        <v>90</v>
      </c>
      <c r="K18" s="13"/>
      <c r="L18" s="62">
        <f>M18*$J$55/($J$55+$K$55)+N18*$K$55/($J$55+$K$55)</f>
        <v>0</v>
      </c>
      <c r="M18" s="14">
        <v>0</v>
      </c>
      <c r="N18" s="14">
        <v>0</v>
      </c>
      <c r="O18" s="63">
        <f>P18*$J$56/($J$56+$K$56)+Q18*$K$56/($J$56+$K$56)</f>
        <v>0</v>
      </c>
      <c r="P18" s="15">
        <v>0</v>
      </c>
      <c r="Q18" s="15">
        <v>0</v>
      </c>
      <c r="R18" s="77">
        <f>SUM(G$76:G$87)</f>
        <v>143.15621138959955</v>
      </c>
      <c r="S18" s="77">
        <f>SUM(H$76:H$87)</f>
        <v>-71.259835868332331</v>
      </c>
      <c r="T18" s="77">
        <f>V18*verbruik</f>
        <v>40.68</v>
      </c>
      <c r="U18" s="77">
        <f>IF(verbruik&gt;teruglevering,W18*teruglevering,W18*verbruik+X18*(teruglevering-verbruik))</f>
        <v>-40.68</v>
      </c>
      <c r="V18" s="14">
        <v>3.39E-2</v>
      </c>
      <c r="W18" s="15">
        <v>-3.39E-2</v>
      </c>
      <c r="X18" s="14">
        <v>0</v>
      </c>
      <c r="Y18" s="64">
        <v>0</v>
      </c>
      <c r="Z18" s="64">
        <v>0</v>
      </c>
      <c r="AA18" s="14">
        <v>0</v>
      </c>
      <c r="AB18" s="105" t="s">
        <v>210</v>
      </c>
      <c r="AC18" s="3"/>
      <c r="AD18" s="3"/>
      <c r="AE18" s="3"/>
      <c r="AF18" s="9"/>
      <c r="AG18" s="3"/>
      <c r="AI18" s="22"/>
      <c r="AJ18" s="88"/>
      <c r="AK18" s="89"/>
      <c r="AL18" s="89"/>
      <c r="AM18" s="89"/>
      <c r="AN18" s="82"/>
    </row>
    <row r="19" spans="2:41" x14ac:dyDescent="0.25">
      <c r="B19" s="54" t="s">
        <v>161</v>
      </c>
      <c r="C19" s="5" t="s">
        <v>181</v>
      </c>
      <c r="D19" s="74">
        <v>7000</v>
      </c>
      <c r="E19" s="79">
        <v>1</v>
      </c>
      <c r="F19" s="55">
        <v>45781</v>
      </c>
      <c r="G19" s="12">
        <f>I19+J19+IF(teruglevering&gt;0,1,0)*K19+IF(verbruik&gt;teruglevering,verbruik-teruglevering,0)*L19+R19+T19+IF(teruglevering-verbruik&gt;0,teruglevering-verbruik,0)*O19+S19+U19+energiebelasting*IF(verbruik&gt;teruglevering,verbruik-teruglevering,0)+Y19+Z19+teruglevering*AA19+teruggaaf+netbeheer</f>
        <v>6.3198755212671358</v>
      </c>
      <c r="H19" s="12">
        <f>G19/12</f>
        <v>0.52665629343892795</v>
      </c>
      <c r="I19" s="61"/>
      <c r="J19" s="13">
        <f>7.99*12</f>
        <v>95.88</v>
      </c>
      <c r="K19" s="13"/>
      <c r="L19" s="62">
        <f>M19*$J$55/($J$55+$K$55)+N19*$K$55/($J$55+$K$55)</f>
        <v>0</v>
      </c>
      <c r="M19" s="14">
        <v>0</v>
      </c>
      <c r="N19" s="14">
        <v>0</v>
      </c>
      <c r="O19" s="63">
        <f>P19*$J$56/($J$56+$K$56)+Q19*$K$56/($J$56+$K$56)</f>
        <v>0</v>
      </c>
      <c r="P19" s="15">
        <v>0</v>
      </c>
      <c r="Q19" s="15">
        <v>0</v>
      </c>
      <c r="R19" s="77">
        <f>SUM(G$76:G$87)</f>
        <v>143.15621138959955</v>
      </c>
      <c r="S19" s="77">
        <f>SUM(H$76:H$87)</f>
        <v>-71.259835868332331</v>
      </c>
      <c r="T19" s="77">
        <f>V19*verbruik</f>
        <v>40.68</v>
      </c>
      <c r="U19" s="77">
        <f>IF(verbruik&gt;teruglevering,W19*teruglevering,W19*verbruik+X19*(teruglevering-verbruik))</f>
        <v>-40.68</v>
      </c>
      <c r="V19" s="14">
        <v>3.39E-2</v>
      </c>
      <c r="W19" s="15">
        <v>-3.39E-2</v>
      </c>
      <c r="X19" s="14">
        <v>0</v>
      </c>
      <c r="Y19" s="64">
        <v>0</v>
      </c>
      <c r="Z19" s="64">
        <v>0</v>
      </c>
      <c r="AA19" s="14">
        <v>0</v>
      </c>
      <c r="AB19" s="105" t="s">
        <v>210</v>
      </c>
      <c r="AC19" s="3"/>
      <c r="AD19" s="3"/>
      <c r="AE19" s="3"/>
      <c r="AF19" s="9"/>
      <c r="AG19" s="3"/>
      <c r="AI19" s="22"/>
      <c r="AJ19" s="88"/>
      <c r="AK19" s="89"/>
      <c r="AL19" s="89"/>
      <c r="AM19" s="89"/>
      <c r="AN19" s="82"/>
    </row>
    <row r="20" spans="2:41" x14ac:dyDescent="0.25">
      <c r="B20" s="54" t="s">
        <v>191</v>
      </c>
      <c r="C20" s="5" t="s">
        <v>181</v>
      </c>
      <c r="D20" s="74">
        <v>30000</v>
      </c>
      <c r="E20" s="79">
        <v>1</v>
      </c>
      <c r="F20" s="55">
        <v>45781</v>
      </c>
      <c r="G20" s="12">
        <f>I20+J20+IF(teruglevering&gt;0,1,0)*K20+IF(verbruik&gt;teruglevering,verbruik-teruglevering,0)*L20+R20+T20+IF(teruglevering-verbruik&gt;0,teruglevering-verbruik,0)*O20+S20+U20+energiebelasting*IF(verbruik&gt;teruglevering,verbruik-teruglevering,0)+Y20+Z20+teruglevering*AA20+teruggaaf+netbeheer</f>
        <v>20.679875521267149</v>
      </c>
      <c r="H20" s="12">
        <f>G20/12</f>
        <v>1.7233229601055957</v>
      </c>
      <c r="I20" s="61"/>
      <c r="J20" s="13">
        <f>7.5*12</f>
        <v>90</v>
      </c>
      <c r="K20" s="13"/>
      <c r="L20" s="62">
        <f>M20*$J$55/($J$55+$K$55)+N20*$K$55/($J$55+$K$55)</f>
        <v>0</v>
      </c>
      <c r="M20" s="14">
        <v>0</v>
      </c>
      <c r="N20" s="14">
        <v>0</v>
      </c>
      <c r="O20" s="63">
        <f>P20*$J$56/($J$56+$K$56)+Q20*$K$56/($J$56+$K$56)</f>
        <v>0</v>
      </c>
      <c r="P20" s="15">
        <v>0</v>
      </c>
      <c r="Q20" s="15">
        <v>0</v>
      </c>
      <c r="R20" s="77">
        <f>SUM(G$76:G$87)</f>
        <v>143.15621138959955</v>
      </c>
      <c r="S20" s="77">
        <f>SUM(H$76:H$87)</f>
        <v>-71.259835868332331</v>
      </c>
      <c r="T20" s="77">
        <f>V20*verbruik</f>
        <v>30.36</v>
      </c>
      <c r="U20" s="77">
        <f>IF(verbruik&gt;teruglevering,W20*teruglevering,W20*verbruik+X20*(teruglevering-verbruik))</f>
        <v>-10.120000000000001</v>
      </c>
      <c r="V20" s="14">
        <v>2.53E-2</v>
      </c>
      <c r="W20" s="15">
        <v>-2.53E-2</v>
      </c>
      <c r="X20" s="14">
        <v>2.53E-2</v>
      </c>
      <c r="Y20" s="64">
        <v>0</v>
      </c>
      <c r="Z20" s="64">
        <v>0</v>
      </c>
      <c r="AA20" s="14">
        <v>0</v>
      </c>
      <c r="AB20" s="105" t="s">
        <v>210</v>
      </c>
      <c r="AC20" s="3"/>
      <c r="AD20" s="3"/>
      <c r="AE20" s="3"/>
      <c r="AF20" s="9"/>
      <c r="AG20" s="3"/>
      <c r="AI20" s="22"/>
      <c r="AJ20" s="88"/>
      <c r="AK20" s="89"/>
      <c r="AL20" s="89"/>
      <c r="AM20" s="89"/>
      <c r="AN20" s="82"/>
    </row>
    <row r="21" spans="2:41" x14ac:dyDescent="0.25">
      <c r="B21" s="54" t="s">
        <v>178</v>
      </c>
      <c r="C21" s="5" t="s">
        <v>182</v>
      </c>
      <c r="D21" s="74"/>
      <c r="E21" s="79">
        <v>5.7000000000000002E-2</v>
      </c>
      <c r="F21" s="55">
        <v>45781</v>
      </c>
      <c r="G21" s="12">
        <f>I21+J21+IF(teruglevering&gt;0,1,0)*K21+IF(verbruik&gt;teruglevering,verbruik-teruglevering,0)*L21+R21+T21+IF(teruglevering-verbruik&gt;0,teruglevering-verbruik,0)*O21+S21+U21+energiebelasting*IF(verbruik&gt;teruglevering,verbruik-teruglevering,0)+Y21+Z21+teruglevering*AA21+teruggaaf+netbeheer</f>
        <v>28.797499999999957</v>
      </c>
      <c r="H21" s="12">
        <f>G21/12</f>
        <v>2.3997916666666632</v>
      </c>
      <c r="I21" s="61"/>
      <c r="J21" s="13">
        <v>90.75</v>
      </c>
      <c r="K21" s="13"/>
      <c r="L21" s="62">
        <f>M21*$J$55/($J$55+$K$55)+N21*$K$55/($J$55+$K$55)</f>
        <v>0.133826</v>
      </c>
      <c r="M21" s="14">
        <v>0.13915</v>
      </c>
      <c r="N21" s="14">
        <v>0.12947</v>
      </c>
      <c r="O21" s="63">
        <f>P21*$J$56/($J$56+$K$56)+Q21*$K$56/($J$56+$K$56)</f>
        <v>-0.12562000000000001</v>
      </c>
      <c r="P21" s="15">
        <v>-0.12397</v>
      </c>
      <c r="Q21" s="15">
        <v>-0.12947</v>
      </c>
      <c r="R21" s="77">
        <v>0</v>
      </c>
      <c r="S21" s="77">
        <v>0</v>
      </c>
      <c r="T21" s="77">
        <f>V21*verbruik</f>
        <v>0</v>
      </c>
      <c r="U21" s="77">
        <f>IF(verbruik&gt;teruglevering,W21*teruglevering,W21*verbruik+X21*(teruglevering-verbruik))</f>
        <v>0</v>
      </c>
      <c r="V21" s="14">
        <v>0</v>
      </c>
      <c r="W21" s="15">
        <v>0</v>
      </c>
      <c r="X21" s="14">
        <v>0</v>
      </c>
      <c r="Y21" s="62">
        <v>0</v>
      </c>
      <c r="Z21" s="62">
        <v>0</v>
      </c>
      <c r="AA21" s="14">
        <v>0.1</v>
      </c>
      <c r="AB21" s="105" t="s">
        <v>206</v>
      </c>
      <c r="AC21" s="3"/>
      <c r="AD21" s="3"/>
      <c r="AE21" s="3"/>
      <c r="AF21" s="9"/>
      <c r="AG21" s="3"/>
      <c r="AH21" s="3"/>
      <c r="AI21" s="22"/>
      <c r="AJ21" s="88"/>
      <c r="AK21" s="3"/>
      <c r="AL21" s="3"/>
      <c r="AM21" s="3"/>
      <c r="AN21" s="3"/>
    </row>
    <row r="22" spans="2:41" x14ac:dyDescent="0.25">
      <c r="B22" s="54" t="s">
        <v>148</v>
      </c>
      <c r="C22" s="5" t="s">
        <v>181</v>
      </c>
      <c r="D22" s="74">
        <v>30000</v>
      </c>
      <c r="E22" s="79">
        <v>1</v>
      </c>
      <c r="F22" s="55">
        <v>45781</v>
      </c>
      <c r="G22" s="12">
        <f>I22+J22+IF(teruglevering&gt;0,1,0)*K22+IF(verbruik&gt;teruglevering,verbruik-teruglevering,0)*L22+R22+T22+IF(teruglevering-verbruik&gt;0,teruglevering-verbruik,0)*O22+S22+U22+energiebelasting*IF(verbruik&gt;teruglevering,verbruik-teruglevering,0)+Y22+Z22+teruglevering*AA22+teruggaaf+netbeheer</f>
        <v>41.679875521267206</v>
      </c>
      <c r="H22" s="12">
        <f>G22/12</f>
        <v>3.4733229601056004</v>
      </c>
      <c r="I22" s="61"/>
      <c r="J22" s="13">
        <f>7*12</f>
        <v>84</v>
      </c>
      <c r="K22" s="13"/>
      <c r="L22" s="62">
        <f>M22*$J$55/($J$55+$K$55)+N22*$K$55/($J$55+$K$55)</f>
        <v>0</v>
      </c>
      <c r="M22" s="14">
        <v>0</v>
      </c>
      <c r="N22" s="14">
        <v>0</v>
      </c>
      <c r="O22" s="63">
        <f>P22*$J$56/($J$56+$K$56)+Q22*$K$56/($J$56+$K$56)</f>
        <v>0</v>
      </c>
      <c r="P22" s="15">
        <v>0</v>
      </c>
      <c r="Q22" s="15">
        <v>0</v>
      </c>
      <c r="R22" s="77">
        <f>SUM(G$76:G$87)</f>
        <v>143.15621138959955</v>
      </c>
      <c r="S22" s="77">
        <f>SUM(H$76:H$87)</f>
        <v>-71.259835868332331</v>
      </c>
      <c r="T22" s="77">
        <f>V22*verbruik</f>
        <v>21.84</v>
      </c>
      <c r="U22" s="77">
        <f>IF(verbruik&gt;teruglevering,W22*teruglevering,W22*verbruik+X22*(teruglevering-verbruik))</f>
        <v>25.4</v>
      </c>
      <c r="V22" s="14">
        <v>1.8200000000000001E-2</v>
      </c>
      <c r="W22" s="14">
        <v>1.2699999999999999E-2</v>
      </c>
      <c r="X22" s="14">
        <v>1.2699999999999999E-2</v>
      </c>
      <c r="Y22" s="64">
        <v>0</v>
      </c>
      <c r="Z22" s="64">
        <v>0</v>
      </c>
      <c r="AA22" s="14">
        <v>0</v>
      </c>
      <c r="AB22" s="105" t="s">
        <v>208</v>
      </c>
      <c r="AC22" s="3"/>
      <c r="AD22" s="3"/>
      <c r="AE22" s="3"/>
      <c r="AF22" s="9"/>
      <c r="AG22" s="3"/>
      <c r="AI22" s="22"/>
      <c r="AJ22" s="88"/>
      <c r="AK22" s="89"/>
      <c r="AL22" s="89"/>
      <c r="AM22" s="89"/>
      <c r="AN22" s="82"/>
    </row>
    <row r="23" spans="2:41" x14ac:dyDescent="0.25">
      <c r="B23" s="54" t="s">
        <v>157</v>
      </c>
      <c r="C23" s="5" t="s">
        <v>181</v>
      </c>
      <c r="D23" s="74">
        <v>30000</v>
      </c>
      <c r="E23" s="79">
        <v>0.66200000000000003</v>
      </c>
      <c r="F23" s="55">
        <v>45781</v>
      </c>
      <c r="G23" s="12">
        <f>I23+J23+IF(teruglevering&gt;0,1,0)*K23+IF(verbruik&gt;teruglevering,verbruik-teruglevering,0)*L23+R23+T23+IF(teruglevering-verbruik&gt;0,teruglevering-verbruik,0)*O23+S23+U23+energiebelasting*IF(verbruik&gt;teruglevering,verbruik-teruglevering,0)+Y23+Z23+teruglevering*AA23+teruggaaf+netbeheer</f>
        <v>41.70387552126715</v>
      </c>
      <c r="H23" s="12">
        <f>G23/12</f>
        <v>3.4753229601055957</v>
      </c>
      <c r="I23" s="61"/>
      <c r="J23" s="13">
        <f>8.99*12</f>
        <v>107.88</v>
      </c>
      <c r="K23" s="13"/>
      <c r="L23" s="62">
        <f>M23*$J$55/($J$55+$K$55)+N23*$K$55/($J$55+$K$55)</f>
        <v>0</v>
      </c>
      <c r="M23" s="14">
        <v>0</v>
      </c>
      <c r="N23" s="14">
        <v>0</v>
      </c>
      <c r="O23" s="63">
        <f>P23*$J$56/($J$56+$K$56)+Q23*$K$56/($J$56+$K$56)</f>
        <v>0</v>
      </c>
      <c r="P23" s="15">
        <v>0</v>
      </c>
      <c r="Q23" s="15">
        <v>0</v>
      </c>
      <c r="R23" s="77">
        <f>SUM(G$76:G$87)</f>
        <v>143.15621138959955</v>
      </c>
      <c r="S23" s="77">
        <f>SUM(H$76:H$87)</f>
        <v>-71.259835868332331</v>
      </c>
      <c r="T23" s="77">
        <f>V23*verbruik</f>
        <v>35.076000000000001</v>
      </c>
      <c r="U23" s="77">
        <f>IF(verbruik&gt;teruglevering,W23*teruglevering,W23*verbruik+X23*(teruglevering-verbruik))</f>
        <v>-11.692</v>
      </c>
      <c r="V23" s="14">
        <v>2.9229999999999999E-2</v>
      </c>
      <c r="W23" s="15">
        <v>-2.9229999999999999E-2</v>
      </c>
      <c r="X23" s="14">
        <v>2.9229999999999999E-2</v>
      </c>
      <c r="Y23" s="64">
        <v>0</v>
      </c>
      <c r="Z23" s="64">
        <v>0</v>
      </c>
      <c r="AA23" s="14">
        <v>0</v>
      </c>
      <c r="AB23" s="105" t="s">
        <v>211</v>
      </c>
      <c r="AC23" s="3"/>
      <c r="AD23" s="3"/>
      <c r="AE23" s="3"/>
      <c r="AF23" s="9"/>
      <c r="AG23" s="3"/>
      <c r="AI23" s="22"/>
      <c r="AJ23" s="88"/>
      <c r="AK23" s="89"/>
      <c r="AL23" s="89"/>
      <c r="AM23" s="89"/>
      <c r="AN23" s="82"/>
    </row>
    <row r="24" spans="2:41" x14ac:dyDescent="0.25">
      <c r="B24" s="54" t="s">
        <v>149</v>
      </c>
      <c r="C24" s="5" t="s">
        <v>181</v>
      </c>
      <c r="D24" s="74"/>
      <c r="E24" s="79">
        <v>0</v>
      </c>
      <c r="F24" s="55">
        <v>45781</v>
      </c>
      <c r="G24" s="12">
        <f>I24+J24+IF(teruglevering&gt;0,1,0)*K24+IF(verbruik&gt;teruglevering,verbruik-teruglevering,0)*L24+R24+T24+IF(teruglevering-verbruik&gt;0,teruglevering-verbruik,0)*O24+S24+U24+energiebelasting*IF(verbruik&gt;teruglevering,verbruik-teruglevering,0)+Y24+Z24+teruglevering*AA24+teruggaaf+netbeheer</f>
        <v>49.43987552126714</v>
      </c>
      <c r="H24" s="12">
        <f>G24/12</f>
        <v>4.119989626772262</v>
      </c>
      <c r="I24" s="61"/>
      <c r="J24" s="13">
        <f>6.25*12</f>
        <v>75</v>
      </c>
      <c r="K24" s="13"/>
      <c r="L24" s="62">
        <f>M24*$J$55/($J$55+$K$55)+N24*$K$55/($J$55+$K$55)</f>
        <v>0</v>
      </c>
      <c r="M24" s="14">
        <v>0</v>
      </c>
      <c r="N24" s="14">
        <v>0</v>
      </c>
      <c r="O24" s="63">
        <f>P24*$J$56/($J$56+$K$56)+Q24*$K$56/($J$56+$K$56)</f>
        <v>0</v>
      </c>
      <c r="P24" s="15">
        <v>0</v>
      </c>
      <c r="Q24" s="15">
        <v>0</v>
      </c>
      <c r="R24" s="77">
        <f>SUM(G$76:G$87)</f>
        <v>143.15621138959955</v>
      </c>
      <c r="S24" s="77">
        <f>SUM(H$76:H$87)</f>
        <v>-71.259835868332331</v>
      </c>
      <c r="T24" s="77">
        <f>V24*verbruik</f>
        <v>24</v>
      </c>
      <c r="U24" s="77">
        <f>IF(verbruik&gt;teruglevering,W24*teruglevering,W24*verbruik+X24*(teruglevering-verbruik))</f>
        <v>40</v>
      </c>
      <c r="V24" s="14">
        <v>0.02</v>
      </c>
      <c r="W24" s="14">
        <v>0.02</v>
      </c>
      <c r="X24" s="14">
        <v>0.02</v>
      </c>
      <c r="Y24" s="64">
        <v>0</v>
      </c>
      <c r="Z24" s="64">
        <v>0</v>
      </c>
      <c r="AA24" s="14">
        <v>0</v>
      </c>
      <c r="AB24" s="105" t="s">
        <v>210</v>
      </c>
      <c r="AC24" s="3"/>
      <c r="AD24" s="3"/>
      <c r="AE24" s="3"/>
      <c r="AF24" s="9"/>
      <c r="AG24" s="3"/>
      <c r="AH24" s="3"/>
      <c r="AI24" s="22"/>
      <c r="AJ24" s="88"/>
      <c r="AK24" s="89"/>
      <c r="AL24" s="89"/>
      <c r="AM24" s="89"/>
      <c r="AN24" s="82"/>
    </row>
    <row r="25" spans="2:41" x14ac:dyDescent="0.25">
      <c r="B25" s="54" t="s">
        <v>145</v>
      </c>
      <c r="C25" s="5" t="s">
        <v>181</v>
      </c>
      <c r="D25" s="74">
        <v>50000</v>
      </c>
      <c r="E25" s="80">
        <v>0.03</v>
      </c>
      <c r="F25" s="55">
        <v>45781</v>
      </c>
      <c r="G25" s="12">
        <f>I25+J25+IF(teruglevering&gt;0,1,0)*K25+IF(verbruik&gt;teruglevering,verbruik-teruglevering,0)*L25+R25+T25+IF(teruglevering-verbruik&gt;0,teruglevering-verbruik,0)*O25+S25+U25+energiebelasting*IF(verbruik&gt;teruglevering,verbruik-teruglevering,0)+Y25+Z25+teruglevering*AA25+teruggaaf+netbeheer</f>
        <v>52.399875521267177</v>
      </c>
      <c r="H25" s="12">
        <f>G25/12</f>
        <v>4.3666562934389317</v>
      </c>
      <c r="I25" s="61"/>
      <c r="J25" s="13">
        <f>5.99*12</f>
        <v>71.88</v>
      </c>
      <c r="K25" s="13"/>
      <c r="L25" s="62">
        <f>M25*$J$55/($J$55+$K$55)+N25*$K$55/($J$55+$K$55)</f>
        <v>0</v>
      </c>
      <c r="M25" s="14">
        <v>0</v>
      </c>
      <c r="N25" s="14">
        <v>0</v>
      </c>
      <c r="O25" s="63">
        <f>P25*$J$56/($J$56+$K$56)+Q25*$K$56/($J$56+$K$56)</f>
        <v>0</v>
      </c>
      <c r="P25" s="15">
        <v>0</v>
      </c>
      <c r="Q25" s="15">
        <v>0</v>
      </c>
      <c r="R25" s="77">
        <f>SUM(G$76:G$87)</f>
        <v>143.15621138959955</v>
      </c>
      <c r="S25" s="77">
        <f>SUM(H$76:H$87)</f>
        <v>-71.259835868332331</v>
      </c>
      <c r="T25" s="77">
        <f>V25*verbruik</f>
        <v>26.279999999999998</v>
      </c>
      <c r="U25" s="77">
        <f>IF(verbruik&gt;teruglevering,W25*teruglevering,W25*verbruik+X25*(teruglevering-verbruik))</f>
        <v>43.8</v>
      </c>
      <c r="V25" s="14">
        <v>2.1899999999999999E-2</v>
      </c>
      <c r="W25" s="14">
        <v>2.1899999999999999E-2</v>
      </c>
      <c r="X25" s="14">
        <v>2.1899999999999999E-2</v>
      </c>
      <c r="Y25" s="64">
        <v>0</v>
      </c>
      <c r="Z25" s="64">
        <v>0</v>
      </c>
      <c r="AA25" s="14">
        <v>0</v>
      </c>
      <c r="AB25" s="105" t="s">
        <v>207</v>
      </c>
      <c r="AC25" s="3"/>
      <c r="AD25" s="3"/>
      <c r="AE25" s="3"/>
      <c r="AF25" s="9"/>
      <c r="AG25" s="3"/>
      <c r="AH25" s="3"/>
      <c r="AI25" s="22"/>
      <c r="AJ25" s="88"/>
      <c r="AK25" s="89"/>
      <c r="AL25" s="89"/>
      <c r="AM25" s="89"/>
      <c r="AN25" s="82"/>
    </row>
    <row r="26" spans="2:41" x14ac:dyDescent="0.25">
      <c r="B26" s="54" t="s">
        <v>219</v>
      </c>
      <c r="C26" s="5" t="s">
        <v>181</v>
      </c>
      <c r="D26" s="74"/>
      <c r="E26" s="79"/>
      <c r="F26" s="55">
        <v>45781</v>
      </c>
      <c r="G26" s="12">
        <f>I26+J26+IF(teruglevering&gt;0,1,0)*K26+IF(verbruik&gt;teruglevering,verbruik-teruglevering,0)*L26+R26+T26+IF(teruglevering-verbruik&gt;0,teruglevering-verbruik,0)*O26+S26+U26+energiebelasting*IF(verbruik&gt;teruglevering,verbruik-teruglevering,0)+Y26+Z26+teruglevering*AA26+teruggaaf+netbeheer</f>
        <v>85.519875521267124</v>
      </c>
      <c r="H26" s="12">
        <f>G26/12</f>
        <v>7.126656293438927</v>
      </c>
      <c r="I26" s="61"/>
      <c r="J26" s="13">
        <f>7.95*12</f>
        <v>95.4</v>
      </c>
      <c r="K26" s="13"/>
      <c r="L26" s="62">
        <f>M26*$J$55/($J$55+$K$55)+N26*$K$55/($J$55+$K$55)</f>
        <v>0</v>
      </c>
      <c r="M26" s="14">
        <v>0</v>
      </c>
      <c r="N26" s="14">
        <v>0</v>
      </c>
      <c r="O26" s="63">
        <f>P26*$J$56/($J$56+$K$56)+Q26*$K$56/($J$56+$K$56)</f>
        <v>0</v>
      </c>
      <c r="P26" s="15">
        <v>0</v>
      </c>
      <c r="Q26" s="15">
        <v>0</v>
      </c>
      <c r="R26" s="77">
        <f>SUM(G$76:G$87)</f>
        <v>143.15621138959955</v>
      </c>
      <c r="S26" s="77">
        <f>SUM(H$76:H$87)</f>
        <v>-71.259835868332331</v>
      </c>
      <c r="T26" s="77">
        <f>V26*verbruik</f>
        <v>30.599999999999998</v>
      </c>
      <c r="U26" s="77">
        <f>IF(verbruik&gt;teruglevering,W26*teruglevering,W26*verbruik+X26*(teruglevering-verbruik))</f>
        <v>49.08</v>
      </c>
      <c r="V26" s="14">
        <v>2.5499999999999998E-2</v>
      </c>
      <c r="W26" s="15">
        <v>-2.5499999999999998E-2</v>
      </c>
      <c r="X26" s="14">
        <v>9.9599999999999994E-2</v>
      </c>
      <c r="Y26" s="64">
        <v>0</v>
      </c>
      <c r="Z26" s="64">
        <v>0</v>
      </c>
      <c r="AA26" s="14">
        <v>0</v>
      </c>
      <c r="AB26" s="105" t="s">
        <v>220</v>
      </c>
      <c r="AC26" s="3"/>
      <c r="AD26" s="3"/>
      <c r="AE26" s="3"/>
      <c r="AF26" s="9"/>
      <c r="AG26" s="3"/>
      <c r="AI26" s="22"/>
      <c r="AJ26" s="88"/>
      <c r="AK26" s="89"/>
      <c r="AL26" s="89"/>
      <c r="AM26" s="89"/>
      <c r="AN26" s="82"/>
    </row>
    <row r="27" spans="2:41" x14ac:dyDescent="0.25">
      <c r="B27" s="54" t="s">
        <v>127</v>
      </c>
      <c r="C27" s="5" t="s">
        <v>182</v>
      </c>
      <c r="D27" s="74">
        <v>200000</v>
      </c>
      <c r="E27" s="79">
        <v>1</v>
      </c>
      <c r="F27" s="55">
        <v>45781</v>
      </c>
      <c r="G27" s="12">
        <f>I27+J27+IF(teruglevering&gt;0,1,0)*K27+IF(verbruik&gt;teruglevering,verbruik-teruglevering,0)*L27+R27+T27+IF(teruglevering-verbruik&gt;0,teruglevering-verbruik,0)*O27+S27+U27+energiebelasting*IF(verbruik&gt;teruglevering,verbruik-teruglevering,0)+Y27+Z27+teruglevering*AA27+teruggaaf+netbeheer</f>
        <v>89.543499999999938</v>
      </c>
      <c r="H27" s="12">
        <f>G27/12</f>
        <v>7.4619583333333281</v>
      </c>
      <c r="I27" s="61"/>
      <c r="J27" s="13">
        <f>9*12</f>
        <v>108</v>
      </c>
      <c r="K27" s="13"/>
      <c r="L27" s="62">
        <f>M27*$J$55/($J$55+$K$55)+N27*$K$55/($J$55+$K$55)</f>
        <v>0.1206325</v>
      </c>
      <c r="M27" s="14">
        <v>0.1363625</v>
      </c>
      <c r="N27" s="14">
        <v>0.1077625</v>
      </c>
      <c r="O27" s="63">
        <f>P27*$J$56/($J$56+$K$56)+Q27*$K$56/($J$56+$K$56)</f>
        <v>-0.14000000000000004</v>
      </c>
      <c r="P27" s="15">
        <v>-0.14000000000000001</v>
      </c>
      <c r="Q27" s="15">
        <v>-0.14000000000000001</v>
      </c>
      <c r="R27" s="77">
        <v>0</v>
      </c>
      <c r="S27" s="77">
        <v>0</v>
      </c>
      <c r="T27" s="77">
        <f>V27*verbruik</f>
        <v>0</v>
      </c>
      <c r="U27" s="77">
        <f>IF(verbruik&gt;teruglevering,W27*teruglevering,W27*verbruik+X27*(teruglevering-verbruik))</f>
        <v>0</v>
      </c>
      <c r="V27" s="14">
        <v>0</v>
      </c>
      <c r="W27" s="15">
        <v>0</v>
      </c>
      <c r="X27" s="14">
        <v>0</v>
      </c>
      <c r="Y27" s="64">
        <f>_xlfn.XLOOKUP("Ja",Terugleverkosten!C:C,Terugleverkosten!J:J,0)</f>
        <v>255</v>
      </c>
      <c r="Z27" s="64">
        <v>0</v>
      </c>
      <c r="AA27" s="14">
        <v>0</v>
      </c>
      <c r="AB27" s="105" t="s">
        <v>212</v>
      </c>
      <c r="AC27" s="3"/>
      <c r="AD27" s="3"/>
      <c r="AE27" s="3"/>
      <c r="AF27" s="9"/>
      <c r="AG27" s="3"/>
      <c r="AI27" s="22"/>
      <c r="AJ27" s="88"/>
      <c r="AK27" s="89"/>
      <c r="AL27" s="89"/>
      <c r="AM27" s="89"/>
      <c r="AN27" s="82"/>
    </row>
    <row r="28" spans="2:41" x14ac:dyDescent="0.25">
      <c r="B28" s="54" t="s">
        <v>129</v>
      </c>
      <c r="C28" s="5" t="s">
        <v>182</v>
      </c>
      <c r="D28" s="74">
        <v>720000</v>
      </c>
      <c r="E28" s="79">
        <v>0.125</v>
      </c>
      <c r="F28" s="55">
        <v>45781</v>
      </c>
      <c r="G28" s="12">
        <f>I28+J28+IF(teruglevering&gt;0,1,0)*K28+IF(verbruik&gt;teruglevering,verbruik-teruglevering,0)*L28+R28+T28+IF(teruglevering-verbruik&gt;0,teruglevering-verbruik,0)*O28+S28+U28+energiebelasting*IF(verbruik&gt;teruglevering,verbruik-teruglevering,0)+Y28+Z28+teruglevering*AA28+teruggaaf+netbeheer</f>
        <v>92.423499999999933</v>
      </c>
      <c r="H28" s="12">
        <f>G28/12</f>
        <v>7.7019583333333275</v>
      </c>
      <c r="I28" s="61"/>
      <c r="J28" s="13">
        <f>8.99*12</f>
        <v>107.88</v>
      </c>
      <c r="K28" s="13"/>
      <c r="L28" s="62">
        <f>M28*$J$55/($J$55+$K$55)+N28*$K$55/($J$55+$K$55)</f>
        <v>0.11856250000000002</v>
      </c>
      <c r="M28" s="14">
        <v>0.1185625</v>
      </c>
      <c r="N28" s="14">
        <v>0.1185625</v>
      </c>
      <c r="O28" s="63">
        <f>P28*$J$56/($J$56+$K$56)+Q28*$K$56/($J$56+$K$56)</f>
        <v>-0.02</v>
      </c>
      <c r="P28" s="15">
        <v>-0.02</v>
      </c>
      <c r="Q28" s="15">
        <v>-0.02</v>
      </c>
      <c r="R28" s="77">
        <v>0</v>
      </c>
      <c r="S28" s="77">
        <v>0</v>
      </c>
      <c r="T28" s="77">
        <f>V28*verbruik</f>
        <v>0</v>
      </c>
      <c r="U28" s="77">
        <f>IF(verbruik&gt;teruglevering,W28*teruglevering,W28*verbruik+X28*(teruglevering-verbruik))</f>
        <v>0</v>
      </c>
      <c r="V28" s="14">
        <v>0</v>
      </c>
      <c r="W28" s="15">
        <v>0</v>
      </c>
      <c r="X28" s="14">
        <v>0</v>
      </c>
      <c r="Y28" s="64">
        <v>0</v>
      </c>
      <c r="Z28" s="64">
        <f>_xlfn.XLOOKUP("Ja",Terugleverkosten!D:D,Terugleverkosten!E:E,0)</f>
        <v>162</v>
      </c>
      <c r="AA28" s="14">
        <v>0</v>
      </c>
      <c r="AB28" s="105" t="s">
        <v>200</v>
      </c>
      <c r="AC28" s="105"/>
      <c r="AD28" s="3"/>
      <c r="AE28" s="3"/>
      <c r="AF28" s="9"/>
      <c r="AG28" s="3"/>
      <c r="AI28" s="22"/>
      <c r="AJ28" s="88"/>
      <c r="AK28" s="89"/>
      <c r="AL28" s="89"/>
      <c r="AM28" s="89"/>
      <c r="AN28" s="82"/>
    </row>
    <row r="29" spans="2:41" x14ac:dyDescent="0.25">
      <c r="B29" s="44" t="s">
        <v>142</v>
      </c>
      <c r="C29" s="5" t="s">
        <v>182</v>
      </c>
      <c r="D29" s="75">
        <v>50000</v>
      </c>
      <c r="E29" s="79">
        <v>1</v>
      </c>
      <c r="F29" s="55">
        <v>45781</v>
      </c>
      <c r="G29" s="12">
        <f>I29+J29+IF(teruglevering&gt;0,1,0)*K29+IF(verbruik&gt;teruglevering,verbruik-teruglevering,0)*L29+R29+T29+IF(teruglevering-verbruik&gt;0,teruglevering-verbruik,0)*O29+S29+U29+energiebelasting*IF(verbruik&gt;teruglevering,verbruik-teruglevering,0)+Y29+Z29+teruglevering*AA29+teruggaaf+netbeheer</f>
        <v>93.423499999999933</v>
      </c>
      <c r="H29" s="12">
        <f>G29/12</f>
        <v>7.7852916666666614</v>
      </c>
      <c r="I29" s="61"/>
      <c r="J29" s="13">
        <f>9.99*12</f>
        <v>119.88</v>
      </c>
      <c r="K29" s="13"/>
      <c r="L29" s="62">
        <f>M29*$J$55/($J$55+$K$55)+N29*$K$55/($J$55+$K$55)</f>
        <v>0.19976250000000001</v>
      </c>
      <c r="M29" s="14">
        <v>0.19976250000000001</v>
      </c>
      <c r="N29" s="14">
        <v>0.19976250000000001</v>
      </c>
      <c r="O29" s="63">
        <f>P29*$J$56/($J$56+$K$56)+Q29*$K$56/($J$56+$K$56)</f>
        <v>-0.15</v>
      </c>
      <c r="P29" s="15">
        <v>-0.15</v>
      </c>
      <c r="Q29" s="15">
        <v>-0.15</v>
      </c>
      <c r="R29" s="77">
        <v>0</v>
      </c>
      <c r="S29" s="77">
        <v>0</v>
      </c>
      <c r="T29" s="77">
        <f>V29*verbruik</f>
        <v>0</v>
      </c>
      <c r="U29" s="77">
        <f>IF(verbruik&gt;teruglevering,W29*teruglevering,W29*verbruik+X29*(teruglevering-verbruik))</f>
        <v>0</v>
      </c>
      <c r="V29" s="14">
        <v>0</v>
      </c>
      <c r="W29" s="15">
        <v>0</v>
      </c>
      <c r="X29" s="14">
        <v>0</v>
      </c>
      <c r="Y29" s="64">
        <f>_xlfn.XLOOKUP("Ja",Terugleverkosten!C:C,Terugleverkosten!Q:Q,0)</f>
        <v>255</v>
      </c>
      <c r="Z29" s="64">
        <v>0</v>
      </c>
      <c r="AA29" s="14">
        <v>0</v>
      </c>
      <c r="AB29" s="105" t="s">
        <v>201</v>
      </c>
      <c r="AC29" s="105"/>
      <c r="AD29" s="3"/>
      <c r="AE29" s="3"/>
      <c r="AF29" s="9"/>
      <c r="AG29" s="3"/>
      <c r="AH29" s="3"/>
      <c r="AI29" s="22"/>
      <c r="AJ29" s="22"/>
      <c r="AK29" s="3"/>
      <c r="AL29" s="3"/>
      <c r="AM29" s="3"/>
      <c r="AN29" s="3"/>
    </row>
    <row r="30" spans="2:41" x14ac:dyDescent="0.25">
      <c r="B30" s="54" t="s">
        <v>139</v>
      </c>
      <c r="C30" s="5" t="s">
        <v>182</v>
      </c>
      <c r="D30" s="74">
        <v>200000</v>
      </c>
      <c r="E30" s="79">
        <v>0.94899999999999995</v>
      </c>
      <c r="F30" s="55">
        <v>45781</v>
      </c>
      <c r="G30" s="12">
        <f>I30+J30+IF(teruglevering&gt;0,1,0)*K30+IF(verbruik&gt;teruglevering,verbruik-teruglevering,0)*L30+R30+T30+IF(teruglevering-verbruik&gt;0,teruglevering-verbruik,0)*O30+S30+U30+energiebelasting*IF(verbruik&gt;teruglevering,verbruik-teruglevering,0)+Y30+Z30+teruglevering*AA30+teruggaaf+netbeheer</f>
        <v>95.343499999999949</v>
      </c>
      <c r="H30" s="12">
        <f>G30/12</f>
        <v>7.9452916666666624</v>
      </c>
      <c r="I30" s="61"/>
      <c r="J30" s="13">
        <f>8.75*12</f>
        <v>105</v>
      </c>
      <c r="K30" s="13"/>
      <c r="L30" s="62">
        <f>M30*$J$55/($J$55+$K$55)+N30*$K$55/($J$55+$K$55)</f>
        <v>0.12929750000000001</v>
      </c>
      <c r="M30" s="14">
        <v>0.1393625</v>
      </c>
      <c r="N30" s="14">
        <v>0.1210625</v>
      </c>
      <c r="O30" s="63">
        <f>P30*$J$56/($J$56+$K$56)+Q30*$K$56/($J$56+$K$56)</f>
        <v>-0.15</v>
      </c>
      <c r="P30" s="15">
        <v>-0.15</v>
      </c>
      <c r="Q30" s="15">
        <v>-0.15</v>
      </c>
      <c r="R30" s="77">
        <v>0</v>
      </c>
      <c r="S30" s="77">
        <v>0</v>
      </c>
      <c r="T30" s="77">
        <f>V30*verbruik</f>
        <v>0</v>
      </c>
      <c r="U30" s="77">
        <f>IF(verbruik&gt;teruglevering,W30*teruglevering,W30*verbruik+X30*(teruglevering-verbruik))</f>
        <v>0</v>
      </c>
      <c r="V30" s="14">
        <v>0</v>
      </c>
      <c r="W30" s="15">
        <v>0</v>
      </c>
      <c r="X30" s="14">
        <v>0</v>
      </c>
      <c r="Y30" s="64">
        <f>_xlfn.XLOOKUP("Ja",Terugleverkosten!C:C,Terugleverkosten!S:S,0)</f>
        <v>271.8</v>
      </c>
      <c r="Z30" s="64">
        <v>0</v>
      </c>
      <c r="AA30" s="14">
        <v>0</v>
      </c>
      <c r="AB30" s="105" t="s">
        <v>214</v>
      </c>
      <c r="AC30" s="3"/>
      <c r="AD30" s="3"/>
      <c r="AE30" s="3"/>
      <c r="AF30" s="9"/>
      <c r="AG30" s="3"/>
      <c r="AH30" s="3"/>
      <c r="AI30" s="22"/>
      <c r="AJ30" s="88"/>
      <c r="AK30" s="3"/>
      <c r="AL30" s="3"/>
      <c r="AM30" s="3"/>
      <c r="AN30" s="3"/>
    </row>
    <row r="31" spans="2:41" x14ac:dyDescent="0.25">
      <c r="B31" s="44" t="s">
        <v>143</v>
      </c>
      <c r="C31" s="5" t="s">
        <v>182</v>
      </c>
      <c r="D31" s="74">
        <v>300000</v>
      </c>
      <c r="E31" s="79">
        <v>0.34899999999999998</v>
      </c>
      <c r="F31" s="55">
        <v>45781</v>
      </c>
      <c r="G31" s="12">
        <f>I31+J31+IF(teruglevering&gt;0,1,0)*K31+IF(verbruik&gt;teruglevering,verbruik-teruglevering,0)*L31+R31+T31+IF(teruglevering-verbruik&gt;0,teruglevering-verbruik,0)*O31+S31+U31+energiebelasting*IF(verbruik&gt;teruglevering,verbruik-teruglevering,0)+Y31+Z31+teruglevering*AA31+teruggaaf+netbeheer</f>
        <v>97.663499999999942</v>
      </c>
      <c r="H31" s="12">
        <f>G31/12</f>
        <v>8.1386249999999958</v>
      </c>
      <c r="I31" s="61"/>
      <c r="J31" s="13">
        <f>10.76*12</f>
        <v>129.12</v>
      </c>
      <c r="K31" s="13">
        <v>0</v>
      </c>
      <c r="L31" s="62">
        <f>M31*$J$55/($J$55+$K$55)+N31*$K$55/($J$55+$K$55)</f>
        <v>0.1409425</v>
      </c>
      <c r="M31" s="14">
        <v>0.1620625</v>
      </c>
      <c r="N31" s="14">
        <v>0.12366249999999999</v>
      </c>
      <c r="O31" s="63">
        <f>P31*$J$56/($J$56+$K$56)+Q31*$K$56/($J$56+$K$56)</f>
        <v>-0.125</v>
      </c>
      <c r="P31" s="15">
        <v>-0.125</v>
      </c>
      <c r="Q31" s="15">
        <v>-0.125</v>
      </c>
      <c r="R31" s="77">
        <v>0</v>
      </c>
      <c r="S31" s="77">
        <v>0</v>
      </c>
      <c r="T31" s="77">
        <f>V31*verbruik</f>
        <v>0</v>
      </c>
      <c r="U31" s="77">
        <f>IF(verbruik&gt;teruglevering,W31*teruglevering,W31*verbruik+X31*(teruglevering-verbruik))</f>
        <v>0</v>
      </c>
      <c r="V31" s="14">
        <v>0</v>
      </c>
      <c r="W31" s="15">
        <v>0</v>
      </c>
      <c r="X31" s="14">
        <v>0</v>
      </c>
      <c r="Y31" s="64">
        <v>0</v>
      </c>
      <c r="Z31" s="64">
        <v>0</v>
      </c>
      <c r="AA31" s="14">
        <f>0.115</f>
        <v>0.115</v>
      </c>
      <c r="AB31" s="105" t="s">
        <v>215</v>
      </c>
      <c r="AC31" s="3"/>
      <c r="AD31" s="3"/>
      <c r="AE31" s="3"/>
      <c r="AF31" s="9"/>
      <c r="AG31" s="3"/>
      <c r="AH31" s="3"/>
      <c r="AI31" s="22"/>
      <c r="AJ31" s="88"/>
      <c r="AK31" s="3"/>
      <c r="AL31" s="3"/>
      <c r="AM31" s="3"/>
      <c r="AN31" s="3"/>
    </row>
    <row r="32" spans="2:41" x14ac:dyDescent="0.25">
      <c r="B32" s="54" t="s">
        <v>184</v>
      </c>
      <c r="C32" s="5" t="s">
        <v>181</v>
      </c>
      <c r="D32" s="74"/>
      <c r="E32" s="79">
        <v>1</v>
      </c>
      <c r="F32" s="55">
        <v>45735</v>
      </c>
      <c r="G32" s="12">
        <f>I32+J32+IF(teruglevering&gt;0,1,0)*K32+IF(verbruik&gt;teruglevering,verbruik-teruglevering,0)*L32+R32+T32+IF(teruglevering-verbruik&gt;0,teruglevering-verbruik,0)*O32+S32+U32+energiebelasting*IF(verbruik&gt;teruglevering,verbruik-teruglevering,0)+Y32+Z32+teruglevering*AA32+teruggaaf+netbeheer</f>
        <v>113.71987552126711</v>
      </c>
      <c r="H32" s="12">
        <f>G32/12</f>
        <v>9.4766562934389267</v>
      </c>
      <c r="I32" s="61"/>
      <c r="J32" s="13">
        <f>101.64</f>
        <v>101.64</v>
      </c>
      <c r="K32" s="13"/>
      <c r="L32" s="62">
        <f>M32*$J$55/($J$55+$K$55)+N32*$K$55/($J$55+$K$55)</f>
        <v>0</v>
      </c>
      <c r="M32" s="14">
        <v>0</v>
      </c>
      <c r="N32" s="14">
        <v>0</v>
      </c>
      <c r="O32" s="63">
        <f>P32*$J$56/($J$56+$K$56)+Q32*$K$56/($J$56+$K$56)</f>
        <v>0</v>
      </c>
      <c r="P32" s="15">
        <v>0</v>
      </c>
      <c r="Q32" s="15">
        <v>0</v>
      </c>
      <c r="R32" s="77">
        <f>SUM(G$76:G$87)</f>
        <v>143.15621138959955</v>
      </c>
      <c r="S32" s="77">
        <f>SUM(H$76:H$87)</f>
        <v>-71.259835868332331</v>
      </c>
      <c r="T32" s="77">
        <f>V32*verbruik</f>
        <v>50.82</v>
      </c>
      <c r="U32" s="77">
        <f>IF(verbruik&gt;teruglevering,W32*teruglevering,W32*verbruik+X32*(teruglevering-verbruik))</f>
        <v>50.82</v>
      </c>
      <c r="V32" s="14">
        <v>4.2349999999999999E-2</v>
      </c>
      <c r="W32" s="14">
        <v>4.2349999999999999E-2</v>
      </c>
      <c r="X32" s="14">
        <v>0</v>
      </c>
      <c r="Y32" s="64">
        <v>0</v>
      </c>
      <c r="Z32" s="64">
        <v>0</v>
      </c>
      <c r="AA32" s="14">
        <v>0</v>
      </c>
      <c r="AB32" s="105"/>
      <c r="AC32" s="3"/>
      <c r="AD32" s="3"/>
      <c r="AE32" s="3"/>
      <c r="AF32" s="9"/>
      <c r="AG32" s="3"/>
      <c r="AH32" s="3"/>
      <c r="AI32" s="22"/>
      <c r="AJ32" s="88"/>
      <c r="AK32" s="3"/>
      <c r="AL32" s="3"/>
      <c r="AM32" s="3"/>
      <c r="AN32" s="3"/>
    </row>
    <row r="33" spans="2:40" x14ac:dyDescent="0.25">
      <c r="B33" s="54" t="s">
        <v>130</v>
      </c>
      <c r="C33" s="5" t="s">
        <v>182</v>
      </c>
      <c r="D33" s="74">
        <v>14000</v>
      </c>
      <c r="E33" s="79">
        <v>1</v>
      </c>
      <c r="F33" s="55">
        <v>45781</v>
      </c>
      <c r="G33" s="12">
        <f>I33+J33+IF(teruglevering&gt;0,1,0)*K33+IF(verbruik&gt;teruglevering,verbruik-teruglevering,0)*L33+R33+T33+IF(teruglevering-verbruik&gt;0,teruglevering-verbruik,0)*O33+S33+U33+energiebelasting*IF(verbruik&gt;teruglevering,verbruik-teruglevering,0)+Y33+Z33+teruglevering*AA33+teruggaaf+netbeheer</f>
        <v>115.38029999999986</v>
      </c>
      <c r="H33" s="12">
        <f>G33/12</f>
        <v>9.6150249999999886</v>
      </c>
      <c r="I33" s="61"/>
      <c r="J33" s="13">
        <f>7.05*12</f>
        <v>84.6</v>
      </c>
      <c r="K33" s="13"/>
      <c r="L33" s="62">
        <f>M33*$J$55/($J$55+$K$55)+N33*$K$55/($J$55+$K$55)</f>
        <v>0.15026600000000001</v>
      </c>
      <c r="M33" s="14">
        <v>0.1664525</v>
      </c>
      <c r="N33" s="14">
        <v>0.13702249999999999</v>
      </c>
      <c r="O33" s="63">
        <f>P33*$J$56/($J$56+$K$56)+Q33*$K$56/($J$56+$K$56)</f>
        <v>-0.13395400000000002</v>
      </c>
      <c r="P33" s="15">
        <v>-0.14146</v>
      </c>
      <c r="Q33" s="15">
        <v>-0.11644</v>
      </c>
      <c r="R33" s="77">
        <v>0</v>
      </c>
      <c r="S33" s="77">
        <v>0</v>
      </c>
      <c r="T33" s="77">
        <f>V33*verbruik</f>
        <v>0</v>
      </c>
      <c r="U33" s="77">
        <f>IF(verbruik&gt;teruglevering,W33*teruglevering,W33*verbruik+X33*(teruglevering-verbruik))</f>
        <v>0</v>
      </c>
      <c r="V33" s="14">
        <v>0</v>
      </c>
      <c r="W33" s="15">
        <v>0</v>
      </c>
      <c r="X33" s="14">
        <v>0</v>
      </c>
      <c r="Y33" s="64">
        <f>_xlfn.XLOOKUP("Ja",Terugleverkosten!C:C,Terugleverkosten!N:N,0)</f>
        <v>299.39999999999998</v>
      </c>
      <c r="Z33" s="64">
        <v>0</v>
      </c>
      <c r="AA33" s="14">
        <v>0</v>
      </c>
      <c r="AB33" s="105" t="s">
        <v>222</v>
      </c>
      <c r="AC33" s="3"/>
      <c r="AD33" s="3"/>
      <c r="AE33" s="3"/>
      <c r="AF33" s="9"/>
      <c r="AG33" s="3"/>
      <c r="AH33" s="3"/>
      <c r="AI33" s="22"/>
      <c r="AJ33" s="88"/>
      <c r="AK33" s="22"/>
      <c r="AL33" s="3"/>
      <c r="AM33" s="3"/>
      <c r="AN33" s="3"/>
    </row>
    <row r="34" spans="2:40" x14ac:dyDescent="0.25">
      <c r="B34" s="54" t="s">
        <v>131</v>
      </c>
      <c r="C34" s="5" t="s">
        <v>182</v>
      </c>
      <c r="D34" s="74">
        <v>600000</v>
      </c>
      <c r="E34" s="79">
        <v>0.94299999999999995</v>
      </c>
      <c r="F34" s="55">
        <v>45781</v>
      </c>
      <c r="G34" s="12">
        <f>I34+J34+IF(teruglevering&gt;0,1,0)*K34+IF(verbruik&gt;teruglevering,verbruik-teruglevering,0)*L34+R34+T34+IF(teruglevering-verbruik&gt;0,teruglevering-verbruik,0)*O34+S34+U34+energiebelasting*IF(verbruik&gt;teruglevering,verbruik-teruglevering,0)+Y34+Z34+teruglevering*AA34+teruggaaf+netbeheer</f>
        <v>117.58350000000002</v>
      </c>
      <c r="H34" s="12">
        <f>G34/12</f>
        <v>9.7986250000000013</v>
      </c>
      <c r="I34" s="61"/>
      <c r="J34" s="13">
        <f>9.32*12</f>
        <v>111.84</v>
      </c>
      <c r="K34" s="13"/>
      <c r="L34" s="62">
        <f>M34*$J$55/($J$55+$K$55)+N34*$K$55/($J$55+$K$55)</f>
        <v>0.11581750000000002</v>
      </c>
      <c r="M34" s="14">
        <v>0.10916250000000001</v>
      </c>
      <c r="N34" s="14">
        <v>0.12126250000000001</v>
      </c>
      <c r="O34" s="63">
        <f>P34*$J$56/($J$56+$K$56)+Q34*$K$56/($J$56+$K$56)</f>
        <v>-0.16</v>
      </c>
      <c r="P34" s="15">
        <v>-0.16</v>
      </c>
      <c r="Q34" s="15">
        <v>-0.16</v>
      </c>
      <c r="R34" s="77">
        <v>0</v>
      </c>
      <c r="S34" s="77">
        <v>0</v>
      </c>
      <c r="T34" s="77">
        <f>V34*verbruik</f>
        <v>0</v>
      </c>
      <c r="U34" s="77">
        <f>IF(verbruik&gt;teruglevering,W34*teruglevering,W34*verbruik+X34*(teruglevering-verbruik))</f>
        <v>0</v>
      </c>
      <c r="V34" s="14">
        <v>0</v>
      </c>
      <c r="W34" s="15">
        <v>0</v>
      </c>
      <c r="X34" s="14">
        <v>0</v>
      </c>
      <c r="Y34" s="64">
        <v>0</v>
      </c>
      <c r="Z34" s="64">
        <v>0</v>
      </c>
      <c r="AA34" s="14">
        <f>0.1476</f>
        <v>0.14760000000000001</v>
      </c>
      <c r="AB34" s="105" t="s">
        <v>202</v>
      </c>
      <c r="AC34" s="3"/>
      <c r="AD34" s="3"/>
      <c r="AE34" s="3"/>
      <c r="AF34" s="9"/>
      <c r="AG34" s="3"/>
      <c r="AH34" s="3"/>
      <c r="AI34" s="22"/>
      <c r="AJ34" s="88"/>
      <c r="AK34" s="89"/>
      <c r="AL34" s="89"/>
      <c r="AM34" s="89"/>
      <c r="AN34" s="82"/>
    </row>
    <row r="35" spans="2:40" x14ac:dyDescent="0.25">
      <c r="B35" s="54" t="s">
        <v>155</v>
      </c>
      <c r="C35" s="5" t="s">
        <v>181</v>
      </c>
      <c r="D35" s="74"/>
      <c r="E35" s="79">
        <v>1</v>
      </c>
      <c r="F35" s="55">
        <v>45781</v>
      </c>
      <c r="G35" s="12">
        <f>I35+J35+IF(teruglevering&gt;0,1,0)*K35+IF(verbruik&gt;teruglevering,verbruik-teruglevering,0)*L35+R35+T35+IF(teruglevering-verbruik&gt;0,teruglevering-verbruik,0)*O35+S35+U35+energiebelasting*IF(verbruik&gt;teruglevering,verbruik-teruglevering,0)+Y35+Z35+teruglevering*AA35+teruggaaf+netbeheer</f>
        <v>130.31987552126714</v>
      </c>
      <c r="H35" s="12">
        <f>G35/12</f>
        <v>10.859989626772261</v>
      </c>
      <c r="I35" s="61"/>
      <c r="J35" s="13">
        <f>5.99*12</f>
        <v>71.88</v>
      </c>
      <c r="K35" s="13"/>
      <c r="L35" s="62">
        <f>M35*$J$55/($J$55+$K$55)+N35*$K$55/($J$55+$K$55)</f>
        <v>0</v>
      </c>
      <c r="M35" s="14">
        <v>0</v>
      </c>
      <c r="N35" s="14">
        <v>0</v>
      </c>
      <c r="O35" s="63">
        <f>P35*$J$56/($J$56+$K$56)+Q35*$K$56/($J$56+$K$56)</f>
        <v>0</v>
      </c>
      <c r="P35" s="15">
        <v>0</v>
      </c>
      <c r="Q35" s="15">
        <v>0</v>
      </c>
      <c r="R35" s="77">
        <f>SUM(G$76:G$87)</f>
        <v>143.15621138959955</v>
      </c>
      <c r="S35" s="77">
        <f>SUM(H$76:H$87)</f>
        <v>-71.259835868332331</v>
      </c>
      <c r="T35" s="77">
        <f>V35*verbruik</f>
        <v>30</v>
      </c>
      <c r="U35" s="77">
        <f>IF(verbruik&gt;teruglevering,W35*teruglevering,W35*verbruik+X35*(teruglevering-verbruik))</f>
        <v>118</v>
      </c>
      <c r="V35" s="14">
        <v>2.5000000000000001E-2</v>
      </c>
      <c r="W35" s="14">
        <v>5.8999999999999997E-2</v>
      </c>
      <c r="X35" s="14">
        <v>5.8999999999999997E-2</v>
      </c>
      <c r="Y35" s="64">
        <v>0</v>
      </c>
      <c r="Z35" s="64">
        <v>0</v>
      </c>
      <c r="AA35" s="14">
        <v>0</v>
      </c>
      <c r="AB35" s="105" t="s">
        <v>209</v>
      </c>
      <c r="AC35" s="3"/>
      <c r="AD35" s="3"/>
      <c r="AE35" s="3"/>
      <c r="AF35" s="9"/>
      <c r="AG35" s="3"/>
      <c r="AI35" s="22"/>
      <c r="AJ35" s="88"/>
      <c r="AK35" s="89"/>
      <c r="AL35" s="89"/>
      <c r="AM35" s="89"/>
      <c r="AN35" s="82"/>
    </row>
    <row r="36" spans="2:40" x14ac:dyDescent="0.25">
      <c r="B36" s="54" t="s">
        <v>150</v>
      </c>
      <c r="C36" s="5" t="s">
        <v>181</v>
      </c>
      <c r="D36" s="74"/>
      <c r="E36" s="79">
        <v>4.7000000000000002E-3</v>
      </c>
      <c r="F36" s="55">
        <v>45781</v>
      </c>
      <c r="G36" s="12">
        <f>I36+J36+IF(teruglevering&gt;0,1,0)*K36+IF(verbruik&gt;teruglevering,verbruik-teruglevering,0)*L36+R36+T36+IF(teruglevering-verbruik&gt;0,teruglevering-verbruik,0)*O36+S36+U36+energiebelasting*IF(verbruik&gt;teruglevering,verbruik-teruglevering,0)+Y36+Z36+teruglevering*AA36+teruggaaf+netbeheer</f>
        <v>131.03987552126716</v>
      </c>
      <c r="H36" s="12">
        <f>G36/12</f>
        <v>10.919989626772264</v>
      </c>
      <c r="I36" s="61"/>
      <c r="J36" s="13">
        <f>6.58*12</f>
        <v>78.960000000000008</v>
      </c>
      <c r="K36" s="13"/>
      <c r="L36" s="62">
        <f>M36*$J$55/($J$55+$K$55)+N36*$K$55/($J$55+$K$55)</f>
        <v>0</v>
      </c>
      <c r="M36" s="14">
        <v>0</v>
      </c>
      <c r="N36" s="14">
        <v>0</v>
      </c>
      <c r="O36" s="63">
        <f>P36*$J$56/($J$56+$K$56)+Q36*$K$56/($J$56+$K$56)</f>
        <v>0</v>
      </c>
      <c r="P36" s="15">
        <v>0</v>
      </c>
      <c r="Q36" s="15">
        <v>0</v>
      </c>
      <c r="R36" s="77">
        <f>SUM(G$76:G$87)</f>
        <v>143.15621138959955</v>
      </c>
      <c r="S36" s="77">
        <f>SUM(H$76:H$87)</f>
        <v>-71.259835868332331</v>
      </c>
      <c r="T36" s="77">
        <f>V36*verbruik</f>
        <v>30.12</v>
      </c>
      <c r="U36" s="77">
        <f>IF(verbruik&gt;teruglevering,W36*teruglevering,W36*verbruik+X36*(teruglevering-verbruik))</f>
        <v>111.52</v>
      </c>
      <c r="V36" s="14">
        <v>2.5100000000000001E-2</v>
      </c>
      <c r="W36" s="14">
        <v>3.0599999999999999E-2</v>
      </c>
      <c r="X36" s="14">
        <v>9.35E-2</v>
      </c>
      <c r="Y36" s="64">
        <v>0</v>
      </c>
      <c r="Z36" s="64">
        <v>0</v>
      </c>
      <c r="AA36" s="14">
        <v>0</v>
      </c>
      <c r="AB36" s="105" t="s">
        <v>217</v>
      </c>
      <c r="AC36" s="3"/>
      <c r="AD36" s="3"/>
      <c r="AE36" s="3"/>
      <c r="AF36" s="9"/>
      <c r="AG36" s="3"/>
      <c r="AH36" s="3"/>
      <c r="AI36" s="22"/>
      <c r="AJ36" s="88"/>
      <c r="AK36" s="3"/>
      <c r="AL36" s="3"/>
      <c r="AM36" s="3"/>
      <c r="AN36" s="3"/>
    </row>
    <row r="37" spans="2:40" x14ac:dyDescent="0.25">
      <c r="B37" s="44" t="s">
        <v>144</v>
      </c>
      <c r="C37" s="110" t="s">
        <v>182</v>
      </c>
      <c r="D37" s="108">
        <v>30000</v>
      </c>
      <c r="E37" s="80">
        <v>1</v>
      </c>
      <c r="F37" s="55">
        <v>45781</v>
      </c>
      <c r="G37" s="12">
        <f>I37+J37+IF(teruglevering&gt;0,1,0)*K37+IF(verbruik&gt;teruglevering,verbruik-teruglevering,0)*L37+R37+T37+IF(teruglevering-verbruik&gt;0,teruglevering-verbruik,0)*O37+S37+U37+energiebelasting*IF(verbruik&gt;teruglevering,verbruik-teruglevering,0)+Y37+Z37+teruglevering*AA37+teruggaaf+netbeheer</f>
        <v>131.34349999999995</v>
      </c>
      <c r="H37" s="12">
        <f>G37/12</f>
        <v>10.945291666666662</v>
      </c>
      <c r="I37" s="61"/>
      <c r="J37" s="13">
        <f>8*12</f>
        <v>96</v>
      </c>
      <c r="K37" s="13"/>
      <c r="L37" s="62">
        <f>M37*$J$55/($J$55+$K$55)+N37*$K$55/($J$55+$K$55)</f>
        <v>0.19802750000000002</v>
      </c>
      <c r="M37" s="14">
        <v>0.21436250000000001</v>
      </c>
      <c r="N37" s="14">
        <v>0.18466250000000001</v>
      </c>
      <c r="O37" s="63">
        <f>P37*$J$56/($J$56+$K$56)+Q37*$K$56/($J$56+$K$56)</f>
        <v>-0.13400000000000001</v>
      </c>
      <c r="P37" s="15">
        <v>-0.13400000000000001</v>
      </c>
      <c r="Q37" s="15">
        <v>-0.13400000000000001</v>
      </c>
      <c r="R37" s="77">
        <v>0</v>
      </c>
      <c r="S37" s="77">
        <v>0</v>
      </c>
      <c r="T37" s="77">
        <f>V37*verbruik</f>
        <v>0</v>
      </c>
      <c r="U37" s="77">
        <f>IF(verbruik&gt;teruglevering,W37*teruglevering,W37*verbruik+X37*(teruglevering-verbruik))</f>
        <v>0</v>
      </c>
      <c r="V37" s="14">
        <v>0</v>
      </c>
      <c r="W37" s="15">
        <v>0</v>
      </c>
      <c r="X37" s="14">
        <v>0</v>
      </c>
      <c r="Y37" s="64">
        <v>0</v>
      </c>
      <c r="Z37" s="64">
        <v>0</v>
      </c>
      <c r="AA37" s="14">
        <f>0.152</f>
        <v>0.152</v>
      </c>
      <c r="AB37" s="105" t="s">
        <v>204</v>
      </c>
      <c r="AC37" s="3"/>
      <c r="AD37" s="3"/>
      <c r="AE37" s="3"/>
      <c r="AF37" s="9"/>
      <c r="AG37" s="3"/>
      <c r="AH37" s="3"/>
      <c r="AI37" s="22"/>
      <c r="AJ37" s="88"/>
      <c r="AK37" s="3"/>
      <c r="AL37" s="3"/>
      <c r="AM37" s="3"/>
      <c r="AN37" s="3"/>
    </row>
    <row r="38" spans="2:40" x14ac:dyDescent="0.25">
      <c r="B38" s="44" t="s">
        <v>133</v>
      </c>
      <c r="C38" s="5" t="s">
        <v>182</v>
      </c>
      <c r="D38" s="75">
        <v>80000</v>
      </c>
      <c r="E38" s="79">
        <v>1</v>
      </c>
      <c r="F38" s="55">
        <v>45692</v>
      </c>
      <c r="G38" s="12">
        <f>I38+J38+IF(teruglevering&gt;0,1,0)*K38+IF(verbruik&gt;teruglevering,verbruik-teruglevering,0)*L38+R38+T38+IF(teruglevering-verbruik&gt;0,teruglevering-verbruik,0)*O38+S38+U38+energiebelasting*IF(verbruik&gt;teruglevering,verbruik-teruglevering,0)+Y38+Z38+teruglevering*AA38+teruggaaf+netbeheer</f>
        <v>135.62349999999992</v>
      </c>
      <c r="H38" s="12">
        <f>G38/12</f>
        <v>11.301958333333326</v>
      </c>
      <c r="I38" s="61">
        <v>-70</v>
      </c>
      <c r="J38" s="13">
        <f>9.49*12</f>
        <v>113.88</v>
      </c>
      <c r="K38" s="13"/>
      <c r="L38" s="62">
        <f>M38*$J$55/($J$55+$K$55)+N38*$K$55/($J$55+$K$55)</f>
        <v>0.1301775</v>
      </c>
      <c r="M38" s="14">
        <v>0.1338625</v>
      </c>
      <c r="N38" s="14">
        <v>0.12716250000000001</v>
      </c>
      <c r="O38" s="63">
        <f>P38*$J$56/($J$56+$K$56)+Q38*$K$56/($J$56+$K$56)</f>
        <v>-6.0000000000000005E-2</v>
      </c>
      <c r="P38" s="15">
        <v>-0.06</v>
      </c>
      <c r="Q38" s="15">
        <v>-0.06</v>
      </c>
      <c r="R38" s="77">
        <v>0</v>
      </c>
      <c r="S38" s="77">
        <v>0</v>
      </c>
      <c r="T38" s="77">
        <f>V38*verbruik</f>
        <v>0</v>
      </c>
      <c r="U38" s="77">
        <f>IF(verbruik&gt;teruglevering,W38*teruglevering,W38*verbruik+X38*(teruglevering-verbruik))</f>
        <v>0</v>
      </c>
      <c r="V38" s="14">
        <v>0</v>
      </c>
      <c r="W38" s="15">
        <v>0</v>
      </c>
      <c r="X38" s="14">
        <v>0</v>
      </c>
      <c r="Y38" s="64">
        <f>_xlfn.XLOOKUP("Ja",Terugleverkosten!C:C,Terugleverkosten!P:P,0)</f>
        <v>301.2</v>
      </c>
      <c r="Z38" s="64">
        <v>0</v>
      </c>
      <c r="AA38" s="14">
        <v>0</v>
      </c>
      <c r="AB38" s="105" t="s">
        <v>213</v>
      </c>
      <c r="AC38" s="3"/>
      <c r="AD38" s="3"/>
      <c r="AE38" s="3"/>
      <c r="AF38" s="9"/>
      <c r="AG38" s="3"/>
      <c r="AH38" s="3"/>
      <c r="AI38" s="22"/>
      <c r="AJ38" s="88"/>
      <c r="AK38" s="89"/>
      <c r="AL38" s="89"/>
      <c r="AM38" s="89"/>
      <c r="AN38" s="82"/>
    </row>
    <row r="39" spans="2:40" x14ac:dyDescent="0.25">
      <c r="B39" s="54" t="s">
        <v>132</v>
      </c>
      <c r="C39" s="5" t="s">
        <v>182</v>
      </c>
      <c r="D39" s="74">
        <v>250000</v>
      </c>
      <c r="E39" s="79">
        <v>0</v>
      </c>
      <c r="F39" s="55">
        <v>45781</v>
      </c>
      <c r="G39" s="12">
        <f>I39+J39+IF(teruglevering&gt;0,1,0)*K39+IF(verbruik&gt;teruglevering,verbruik-teruglevering,0)*L39+R39+T39+IF(teruglevering-verbruik&gt;0,teruglevering-verbruik,0)*O39+S39+U39+energiebelasting*IF(verbruik&gt;teruglevering,verbruik-teruglevering,0)+Y39+Z39+teruglevering*AA39+teruggaaf+netbeheer</f>
        <v>139.18349999999992</v>
      </c>
      <c r="H39" s="12">
        <f>G39/12</f>
        <v>11.598624999999993</v>
      </c>
      <c r="I39" s="61"/>
      <c r="J39" s="13">
        <f>8.49*12</f>
        <v>101.88</v>
      </c>
      <c r="K39" s="13"/>
      <c r="L39" s="62">
        <f>M39*$J$55/($J$55+$K$55)+N39*$K$55/($J$55+$K$55)</f>
        <v>0.11913250000000002</v>
      </c>
      <c r="M39" s="14">
        <v>0.12606250000000002</v>
      </c>
      <c r="N39" s="14">
        <v>0.11346250000000001</v>
      </c>
      <c r="O39" s="63">
        <f>P39*$J$56/($J$56+$K$56)+Q39*$K$56/($J$56+$K$56)</f>
        <v>-0.18230000000000002</v>
      </c>
      <c r="P39" s="15">
        <v>-0.18229999999999999</v>
      </c>
      <c r="Q39" s="15">
        <v>-0.18229999999999999</v>
      </c>
      <c r="R39" s="77">
        <v>0</v>
      </c>
      <c r="S39" s="77">
        <v>0</v>
      </c>
      <c r="T39" s="77">
        <f>V39*verbruik</f>
        <v>0</v>
      </c>
      <c r="U39" s="77">
        <f>IF(verbruik&gt;teruglevering,W39*teruglevering,W39*verbruik+X39*(teruglevering-verbruik))</f>
        <v>0</v>
      </c>
      <c r="V39" s="14">
        <v>0</v>
      </c>
      <c r="W39" s="15">
        <v>0</v>
      </c>
      <c r="X39" s="14">
        <v>0</v>
      </c>
      <c r="Y39" s="64">
        <v>0</v>
      </c>
      <c r="Z39" s="64">
        <v>0</v>
      </c>
      <c r="AA39" s="14">
        <v>0.17230000000000001</v>
      </c>
      <c r="AB39" s="105" t="s">
        <v>216</v>
      </c>
      <c r="AC39" s="3"/>
      <c r="AD39" s="3"/>
      <c r="AE39" s="3"/>
      <c r="AF39" s="9"/>
      <c r="AG39" s="3"/>
      <c r="AH39" s="88"/>
      <c r="AJ39" s="3"/>
      <c r="AK39" s="3"/>
      <c r="AL39" s="3"/>
      <c r="AM39" s="3"/>
      <c r="AN39" s="3"/>
    </row>
    <row r="40" spans="2:40" x14ac:dyDescent="0.25">
      <c r="B40" s="44" t="s">
        <v>140</v>
      </c>
      <c r="C40" s="5" t="s">
        <v>182</v>
      </c>
      <c r="D40" s="74">
        <v>25000</v>
      </c>
      <c r="E40" s="79">
        <v>0</v>
      </c>
      <c r="F40" s="55">
        <v>45781</v>
      </c>
      <c r="G40" s="12">
        <f>I40+J40+IF(teruglevering&gt;0,1,0)*K40+IF(verbruik&gt;teruglevering,verbruik-teruglevering,0)*L40+R40+T40+IF(teruglevering-verbruik&gt;0,teruglevering-verbruik,0)*O40+S40+U40+energiebelasting*IF(verbruik&gt;teruglevering,verbruik-teruglevering,0)+Y40+Z40+teruglevering*AA40+teruggaaf+netbeheer</f>
        <v>140.26349999999991</v>
      </c>
      <c r="H40" s="12">
        <f>G40/12</f>
        <v>11.688624999999993</v>
      </c>
      <c r="I40" s="61">
        <v>-187</v>
      </c>
      <c r="J40" s="13">
        <f>11.59*12</f>
        <v>139.07999999999998</v>
      </c>
      <c r="K40" s="13"/>
      <c r="L40" s="62">
        <f>M40*$J$55/($J$55+$K$55)+N40*$K$55/($J$55+$K$55)</f>
        <v>0.14306250000000001</v>
      </c>
      <c r="M40" s="14">
        <v>0.14966250000000003</v>
      </c>
      <c r="N40" s="14">
        <v>0.13766250000000002</v>
      </c>
      <c r="O40" s="63">
        <f>P40*$J$56/($J$56+$K$56)+Q40*$K$56/($J$56+$K$56)</f>
        <v>-0.05</v>
      </c>
      <c r="P40" s="15">
        <v>-0.05</v>
      </c>
      <c r="Q40" s="15">
        <v>-0.05</v>
      </c>
      <c r="R40" s="77">
        <v>0</v>
      </c>
      <c r="S40" s="77">
        <v>0</v>
      </c>
      <c r="T40" s="77">
        <f>V40*verbruik</f>
        <v>0</v>
      </c>
      <c r="U40" s="77">
        <f>IF(verbruik&gt;teruglevering,W40*teruglevering,W40*verbruik+X40*(teruglevering-verbruik))</f>
        <v>0</v>
      </c>
      <c r="V40" s="14">
        <v>0</v>
      </c>
      <c r="W40" s="15">
        <v>0</v>
      </c>
      <c r="X40" s="14">
        <v>0</v>
      </c>
      <c r="Y40" s="64">
        <f>_xlfn.XLOOKUP("Ja",Terugleverkosten!C:C,Terugleverkosten!R:R,0)</f>
        <v>389.64</v>
      </c>
      <c r="Z40" s="64">
        <v>0</v>
      </c>
      <c r="AA40" s="14">
        <v>0</v>
      </c>
      <c r="AB40" s="105" t="s">
        <v>204</v>
      </c>
      <c r="AC40" s="3"/>
      <c r="AD40" s="3"/>
      <c r="AE40" s="3"/>
      <c r="AF40" s="9"/>
      <c r="AG40" s="3"/>
      <c r="AI40" s="22"/>
      <c r="AJ40" s="88"/>
      <c r="AK40" s="3"/>
      <c r="AL40" s="3"/>
      <c r="AM40" s="3"/>
      <c r="AN40" s="3"/>
    </row>
    <row r="41" spans="2:40" x14ac:dyDescent="0.25">
      <c r="B41" s="54" t="s">
        <v>134</v>
      </c>
      <c r="C41" s="5" t="s">
        <v>182</v>
      </c>
      <c r="D41" s="74">
        <v>1700000</v>
      </c>
      <c r="E41" s="79">
        <v>0.41499999999999998</v>
      </c>
      <c r="F41" s="55">
        <v>45781</v>
      </c>
      <c r="G41" s="12">
        <f>I41+J41+IF(teruglevering&gt;0,1,0)*K41+IF(verbruik&gt;teruglevering,verbruik-teruglevering,0)*L41+R41+T41+IF(teruglevering-verbruik&gt;0,teruglevering-verbruik,0)*O41+S41+U41+energiebelasting*IF(verbruik&gt;teruglevering,verbruik-teruglevering,0)+Y41+Z41+teruglevering*AA41+teruggaaf+netbeheer</f>
        <v>143.42349999999993</v>
      </c>
      <c r="H41" s="12">
        <f>G41/12</f>
        <v>11.951958333333328</v>
      </c>
      <c r="I41" s="61"/>
      <c r="J41" s="13">
        <f>8.99*12</f>
        <v>107.88</v>
      </c>
      <c r="K41" s="13"/>
      <c r="L41" s="62">
        <f>M41*$J$55/($J$55+$K$55)+N41*$K$55/($J$55+$K$55)</f>
        <v>0.14816250000000003</v>
      </c>
      <c r="M41" s="14">
        <v>0.14816250000000003</v>
      </c>
      <c r="N41" s="14">
        <v>0.14816250000000003</v>
      </c>
      <c r="O41" s="63">
        <f>P41*$J$56/($J$56+$K$56)+Q41*$K$56/($J$56+$K$56)</f>
        <v>-0.14000000000000004</v>
      </c>
      <c r="P41" s="15">
        <v>-0.14000000000000001</v>
      </c>
      <c r="Q41" s="15">
        <v>-0.14000000000000001</v>
      </c>
      <c r="R41" s="77">
        <v>0</v>
      </c>
      <c r="S41" s="77">
        <v>0</v>
      </c>
      <c r="T41" s="77">
        <f>V41*verbruik</f>
        <v>0</v>
      </c>
      <c r="U41" s="77">
        <f>IF(verbruik&gt;teruglevering,W41*teruglevering,W41*verbruik+X41*(teruglevering-verbruik))</f>
        <v>0</v>
      </c>
      <c r="V41" s="14">
        <v>0</v>
      </c>
      <c r="W41" s="15">
        <v>0</v>
      </c>
      <c r="X41" s="14">
        <v>0</v>
      </c>
      <c r="Y41" s="64">
        <f>_xlfn.XLOOKUP("Ja",Terugleverkosten!C:C,Terugleverkosten!H:H,0)</f>
        <v>309</v>
      </c>
      <c r="Z41" s="64">
        <v>0</v>
      </c>
      <c r="AA41" s="14">
        <v>0</v>
      </c>
      <c r="AB41" s="105" t="s">
        <v>203</v>
      </c>
      <c r="AC41" s="105"/>
      <c r="AD41" s="3"/>
      <c r="AE41" s="3"/>
      <c r="AF41" s="9"/>
      <c r="AG41" s="3"/>
      <c r="AH41" s="3"/>
      <c r="AI41" s="22"/>
      <c r="AJ41" s="88"/>
      <c r="AK41" s="3"/>
      <c r="AL41" s="3"/>
      <c r="AM41" s="3"/>
      <c r="AN41" s="3"/>
    </row>
    <row r="42" spans="2:40" x14ac:dyDescent="0.25">
      <c r="B42" s="44" t="s">
        <v>128</v>
      </c>
      <c r="C42" s="5" t="s">
        <v>182</v>
      </c>
      <c r="D42" s="74">
        <v>600000</v>
      </c>
      <c r="E42" s="79">
        <v>0</v>
      </c>
      <c r="F42" s="55">
        <v>45692</v>
      </c>
      <c r="G42" s="12">
        <f>I42+J42+IF(teruglevering&gt;0,1,0)*K42+IF(verbruik&gt;teruglevering,verbruik-teruglevering,0)*L42+R42+T42+IF(teruglevering-verbruik&gt;0,teruglevering-verbruik,0)*O42+S42+U42+energiebelasting*IF(verbruik&gt;teruglevering,verbruik-teruglevering,0)+Y42+Z42+teruglevering*AA42+teruggaaf+netbeheer</f>
        <v>144.66349999999994</v>
      </c>
      <c r="H42" s="12">
        <f>G42/12</f>
        <v>12.055291666666662</v>
      </c>
      <c r="I42" s="61">
        <v>-50</v>
      </c>
      <c r="J42" s="13">
        <f>9.98*12</f>
        <v>119.76</v>
      </c>
      <c r="K42" s="13"/>
      <c r="L42" s="62">
        <f>M42*$J$55/($J$55+$K$55)+N42*$K$55/($J$55+$K$55)</f>
        <v>0.134189</v>
      </c>
      <c r="M42" s="14">
        <v>0.13552</v>
      </c>
      <c r="N42" s="14">
        <v>0.1331</v>
      </c>
      <c r="O42" s="63">
        <f>P42*$J$56/($J$56+$K$56)+Q42*$K$56/($J$56+$K$56)</f>
        <v>-0.05</v>
      </c>
      <c r="P42" s="15">
        <v>-0.05</v>
      </c>
      <c r="Q42" s="15">
        <v>-0.05</v>
      </c>
      <c r="R42" s="77">
        <v>0</v>
      </c>
      <c r="S42" s="77">
        <v>0</v>
      </c>
      <c r="T42" s="77">
        <f>V42*verbruik</f>
        <v>0</v>
      </c>
      <c r="U42" s="77">
        <f>IF(verbruik&gt;teruglevering,W42*teruglevering,W42*verbruik+X42*(teruglevering-verbruik))</f>
        <v>0</v>
      </c>
      <c r="V42" s="14">
        <v>0</v>
      </c>
      <c r="W42" s="15">
        <v>0</v>
      </c>
      <c r="X42" s="14">
        <v>0</v>
      </c>
      <c r="Y42" s="64">
        <f>_xlfn.XLOOKUP("Ja",Terugleverkosten!C:C,Terugleverkosten!F:F,0)</f>
        <v>276.36</v>
      </c>
      <c r="Z42" s="64">
        <v>0</v>
      </c>
      <c r="AA42" s="14">
        <v>0</v>
      </c>
      <c r="AB42" s="105"/>
      <c r="AC42" s="3"/>
      <c r="AD42" s="3"/>
      <c r="AE42" s="3"/>
      <c r="AF42" s="9"/>
      <c r="AG42" s="3"/>
      <c r="AH42" s="3"/>
      <c r="AI42" s="22"/>
      <c r="AJ42" s="88"/>
      <c r="AK42" s="3"/>
      <c r="AL42" s="3"/>
      <c r="AM42" s="3"/>
      <c r="AN42" s="3"/>
    </row>
    <row r="43" spans="2:40" x14ac:dyDescent="0.25">
      <c r="B43" s="54" t="s">
        <v>137</v>
      </c>
      <c r="C43" s="5" t="s">
        <v>182</v>
      </c>
      <c r="D43" s="74">
        <v>1270000</v>
      </c>
      <c r="E43" s="79">
        <v>0.66200000000000003</v>
      </c>
      <c r="F43" s="55">
        <v>45781</v>
      </c>
      <c r="G43" s="12">
        <f>I43+J43+IF(teruglevering&gt;0,1,0)*K43+IF(verbruik&gt;teruglevering,verbruik-teruglevering,0)*L43+R43+T43+IF(teruglevering-verbruik&gt;0,teruglevering-verbruik,0)*O43+S43+U43+energiebelasting*IF(verbruik&gt;teruglevering,verbruik-teruglevering,0)+Y43+Z43+teruglevering*AA43+teruggaaf+netbeheer</f>
        <v>145.18349999999992</v>
      </c>
      <c r="H43" s="12">
        <f>G43/12</f>
        <v>12.098624999999993</v>
      </c>
      <c r="I43" s="61"/>
      <c r="J43" s="13">
        <f>8.99*12</f>
        <v>107.88</v>
      </c>
      <c r="K43" s="13"/>
      <c r="L43" s="62">
        <f>M43*$J$55/($J$55+$K$55)+N43*$K$55/($J$55+$K$55)</f>
        <v>0.12517249999999999</v>
      </c>
      <c r="M43" s="14">
        <v>0.13276250000000001</v>
      </c>
      <c r="N43" s="14">
        <v>0.11896249999999998</v>
      </c>
      <c r="O43" s="63">
        <f>P43*$J$56/($J$56+$K$56)+Q43*$K$56/($J$56+$K$56)</f>
        <v>-0.18230000000000002</v>
      </c>
      <c r="P43" s="15">
        <v>-0.18229999999999999</v>
      </c>
      <c r="Q43" s="15">
        <v>-0.18229999999999999</v>
      </c>
      <c r="R43" s="77">
        <v>0</v>
      </c>
      <c r="S43" s="77">
        <v>0</v>
      </c>
      <c r="T43" s="77">
        <f>V43*verbruik</f>
        <v>0</v>
      </c>
      <c r="U43" s="77">
        <f>IF(verbruik&gt;teruglevering,W43*teruglevering,W43*verbruik+X43*(teruglevering-verbruik))</f>
        <v>0</v>
      </c>
      <c r="V43" s="14">
        <v>0</v>
      </c>
      <c r="W43" s="15">
        <v>0</v>
      </c>
      <c r="X43" s="14">
        <v>0</v>
      </c>
      <c r="Y43" s="64">
        <v>0</v>
      </c>
      <c r="Z43" s="64">
        <v>0</v>
      </c>
      <c r="AA43" s="14">
        <v>0.17230000000000001</v>
      </c>
      <c r="AB43" s="105" t="s">
        <v>199</v>
      </c>
      <c r="AC43" s="3"/>
      <c r="AD43" s="3"/>
      <c r="AE43" s="3"/>
      <c r="AF43" s="9"/>
      <c r="AG43" s="3"/>
      <c r="AH43" s="3"/>
      <c r="AI43" s="22"/>
      <c r="AJ43" s="88"/>
      <c r="AK43" s="3"/>
      <c r="AL43" s="3"/>
      <c r="AM43" s="3"/>
      <c r="AN43" s="3"/>
    </row>
    <row r="44" spans="2:40" x14ac:dyDescent="0.25">
      <c r="B44" s="54" t="s">
        <v>136</v>
      </c>
      <c r="C44" s="5" t="s">
        <v>182</v>
      </c>
      <c r="D44" s="74">
        <v>120000</v>
      </c>
      <c r="E44" s="80">
        <v>1</v>
      </c>
      <c r="F44" s="55">
        <v>45781</v>
      </c>
      <c r="G44" s="12">
        <f>I44+J44+IF(teruglevering&gt;0,1,0)*K44+IF(verbruik&gt;teruglevering,verbruik-teruglevering,0)*L44+R44+T44+IF(teruglevering-verbruik&gt;0,teruglevering-verbruik,0)*O44+S44+U44+energiebelasting*IF(verbruik&gt;teruglevering,verbruik-teruglevering,0)+Y44+Z44+teruglevering*AA44+teruggaaf+netbeheer</f>
        <v>155.64349999999996</v>
      </c>
      <c r="H44" s="12">
        <f>G44/12</f>
        <v>12.970291666666663</v>
      </c>
      <c r="I44" s="61"/>
      <c r="J44" s="13">
        <v>95.59</v>
      </c>
      <c r="K44" s="13"/>
      <c r="L44" s="62">
        <f>M44*$J$55/($J$55+$K$55)+N44*$K$55/($J$55+$K$55)</f>
        <v>0.136571</v>
      </c>
      <c r="M44" s="14">
        <v>0.1423625</v>
      </c>
      <c r="N44" s="14">
        <v>0.13183250000000002</v>
      </c>
      <c r="O44" s="63">
        <f>P44*$J$56/($J$56+$K$56)+Q44*$K$56/($J$56+$K$56)</f>
        <v>-6.0499999999999998E-2</v>
      </c>
      <c r="P44" s="15">
        <v>-6.0499999999999998E-2</v>
      </c>
      <c r="Q44" s="15">
        <v>-6.0499999999999998E-2</v>
      </c>
      <c r="R44" s="77">
        <v>0</v>
      </c>
      <c r="S44" s="77">
        <v>0</v>
      </c>
      <c r="T44" s="77">
        <f>V44*verbruik</f>
        <v>0</v>
      </c>
      <c r="U44" s="77">
        <f>IF(verbruik&gt;teruglevering,W44*teruglevering,W44*verbruik+X44*(teruglevering-verbruik))</f>
        <v>0</v>
      </c>
      <c r="V44" s="14">
        <v>0</v>
      </c>
      <c r="W44" s="15">
        <v>0</v>
      </c>
      <c r="X44" s="14">
        <v>0</v>
      </c>
      <c r="Y44" s="64">
        <f>_xlfn.XLOOKUP("Ja",Terugleverkosten!C:C,Terugleverkosten!I:I,0)</f>
        <v>269.91000000000003</v>
      </c>
      <c r="Z44" s="64">
        <v>0</v>
      </c>
      <c r="AA44" s="14">
        <v>0</v>
      </c>
      <c r="AB44" s="105" t="s">
        <v>206</v>
      </c>
      <c r="AC44" s="3"/>
      <c r="AD44" s="3"/>
      <c r="AE44" s="3"/>
      <c r="AF44" s="9"/>
      <c r="AG44" s="3"/>
      <c r="AH44" s="3"/>
      <c r="AI44" s="22"/>
      <c r="AJ44" s="88"/>
      <c r="AK44" s="3"/>
      <c r="AL44" s="3"/>
      <c r="AM44" s="3"/>
      <c r="AN44" s="3"/>
    </row>
    <row r="45" spans="2:40" x14ac:dyDescent="0.25">
      <c r="B45" s="44" t="s">
        <v>135</v>
      </c>
      <c r="C45" s="5" t="s">
        <v>182</v>
      </c>
      <c r="D45" s="74"/>
      <c r="E45" s="80">
        <v>4.7000000000000002E-3</v>
      </c>
      <c r="F45" s="55">
        <v>45781</v>
      </c>
      <c r="G45" s="12">
        <f>I45+J45+IF(teruglevering&gt;0,1,0)*K45+IF(verbruik&gt;teruglevering,verbruik-teruglevering,0)*L45+R45+T45+IF(teruglevering-verbruik&gt;0,teruglevering-verbruik,0)*O45+S45+U45+energiebelasting*IF(verbruik&gt;teruglevering,verbruik-teruglevering,0)+Y45+Z45+teruglevering*AA45+teruggaaf+netbeheer</f>
        <v>163.97349999999994</v>
      </c>
      <c r="H45" s="12">
        <f>G45/12</f>
        <v>13.664458333333329</v>
      </c>
      <c r="I45" s="61"/>
      <c r="J45" s="13">
        <f>7.96*12</f>
        <v>95.52</v>
      </c>
      <c r="K45" s="13"/>
      <c r="L45" s="62">
        <f>M45*$J$55/($J$55+$K$55)+N45*$K$55/($J$55+$K$55)</f>
        <v>0.136571</v>
      </c>
      <c r="M45" s="14">
        <v>0.1423625</v>
      </c>
      <c r="N45" s="14">
        <v>0.13183250000000002</v>
      </c>
      <c r="O45" s="63">
        <f>P45*$J$56/($J$56+$K$56)+Q45*$K$56/($J$56+$K$56)</f>
        <v>-0.05</v>
      </c>
      <c r="P45" s="15">
        <v>-0.05</v>
      </c>
      <c r="Q45" s="15">
        <v>-0.05</v>
      </c>
      <c r="R45" s="77">
        <v>0</v>
      </c>
      <c r="S45" s="77">
        <v>0</v>
      </c>
      <c r="T45" s="77">
        <f>V45*verbruik</f>
        <v>0</v>
      </c>
      <c r="U45" s="77">
        <f>IF(verbruik&gt;teruglevering,W45*teruglevering,W45*verbruik+X45*(teruglevering-verbruik))</f>
        <v>0</v>
      </c>
      <c r="V45" s="14">
        <v>0</v>
      </c>
      <c r="W45" s="15">
        <v>0</v>
      </c>
      <c r="X45" s="14">
        <v>0</v>
      </c>
      <c r="Y45" s="64">
        <f>_xlfn.XLOOKUP("Ja",Terugleverkosten!C:C,Terugleverkosten!L:L,0)</f>
        <v>269.91000000000003</v>
      </c>
      <c r="Z45" s="64">
        <v>0</v>
      </c>
      <c r="AA45" s="14">
        <v>0</v>
      </c>
      <c r="AB45" s="105" t="s">
        <v>221</v>
      </c>
      <c r="AC45" s="3"/>
      <c r="AD45" s="3"/>
      <c r="AE45" s="3"/>
      <c r="AF45" s="9"/>
      <c r="AG45" s="3"/>
      <c r="AH45" s="3"/>
      <c r="AI45" s="22"/>
      <c r="AJ45" s="88"/>
      <c r="AK45" s="3"/>
      <c r="AL45" s="3"/>
      <c r="AM45" s="3"/>
      <c r="AN45" s="3"/>
    </row>
    <row r="46" spans="2:40" x14ac:dyDescent="0.25">
      <c r="B46" s="54" t="s">
        <v>141</v>
      </c>
      <c r="C46" s="5" t="s">
        <v>182</v>
      </c>
      <c r="D46" s="74">
        <v>1500000</v>
      </c>
      <c r="E46" s="80">
        <v>0.19600000000000001</v>
      </c>
      <c r="F46" s="55">
        <v>45781</v>
      </c>
      <c r="G46" s="12">
        <f>I46+J46+IF(teruglevering&gt;0,1,0)*K46+IF(verbruik&gt;teruglevering,verbruik-teruglevering,0)*L46+R46+T46+IF(teruglevering-verbruik&gt;0,teruglevering-verbruik,0)*O46+S46+U46+energiebelasting*IF(verbruik&gt;teruglevering,verbruik-teruglevering,0)+Y46+Z46+teruglevering*AA46+teruggaaf+netbeheer</f>
        <v>177.74514999999991</v>
      </c>
      <c r="H46" s="12">
        <f>G46/12</f>
        <v>14.812095833333325</v>
      </c>
      <c r="I46" s="61">
        <v>-25</v>
      </c>
      <c r="J46" s="13">
        <f>0.36121*365</f>
        <v>131.84164999999999</v>
      </c>
      <c r="K46" s="13"/>
      <c r="L46" s="62">
        <f>M46*$J$55/($J$55+$K$55)+N46*$K$55/($J$55+$K$55)</f>
        <v>0.14425150000000003</v>
      </c>
      <c r="M46" s="14">
        <v>0.1455825</v>
      </c>
      <c r="N46" s="14">
        <v>0.14316250000000003</v>
      </c>
      <c r="O46" s="63">
        <f>P46*$J$56/($J$56+$K$56)+Q46*$K$56/($J$56+$K$56)</f>
        <v>-5.5000000000000007E-2</v>
      </c>
      <c r="P46" s="15">
        <v>-5.5E-2</v>
      </c>
      <c r="Q46" s="15">
        <v>-5.5E-2</v>
      </c>
      <c r="R46" s="77">
        <v>0</v>
      </c>
      <c r="S46" s="77">
        <v>0</v>
      </c>
      <c r="T46" s="77">
        <f>V46*verbruik</f>
        <v>0</v>
      </c>
      <c r="U46" s="77">
        <f>IF(verbruik&gt;teruglevering,W46*teruglevering,W46*verbruik+X46*(teruglevering-verbruik))</f>
        <v>0</v>
      </c>
      <c r="V46" s="14">
        <v>0</v>
      </c>
      <c r="W46" s="15">
        <v>0</v>
      </c>
      <c r="X46" s="14">
        <v>0</v>
      </c>
      <c r="Y46" s="64">
        <f>_xlfn.XLOOKUP("Ja",Terugleverkosten!C:C,Terugleverkosten!G:G,0)</f>
        <v>276.36</v>
      </c>
      <c r="Z46" s="64">
        <v>0</v>
      </c>
      <c r="AA46" s="14">
        <v>0</v>
      </c>
      <c r="AB46" s="105" t="s">
        <v>223</v>
      </c>
      <c r="AC46" s="3"/>
      <c r="AD46" s="3"/>
      <c r="AE46" s="3"/>
      <c r="AF46" s="9"/>
      <c r="AG46" s="3"/>
      <c r="AH46" s="3"/>
      <c r="AI46" s="22"/>
      <c r="AJ46" s="88"/>
      <c r="AK46" s="3"/>
      <c r="AL46" s="3"/>
      <c r="AM46" s="3"/>
      <c r="AN46" s="3"/>
    </row>
    <row r="47" spans="2:40" x14ac:dyDescent="0.25">
      <c r="B47" s="54" t="s">
        <v>126</v>
      </c>
      <c r="C47" s="5" t="s">
        <v>183</v>
      </c>
      <c r="D47" s="74"/>
      <c r="E47" s="79">
        <v>0.19600000000000001</v>
      </c>
      <c r="F47" s="55">
        <v>45746</v>
      </c>
      <c r="G47" s="12">
        <f>I47+J47+IF(teruglevering&gt;0,1,0)*K47+IF(verbruik&gt;teruglevering,verbruik-teruglevering,0)*L47+R47+T47+IF(teruglevering-verbruik&gt;0,teruglevering-verbruik,0)*O47+S47+U47+energiebelasting*IF(verbruik&gt;teruglevering,verbruik-teruglevering,0)+Y47+Z47+teruglevering*AA47+teruggaaf+netbeheer</f>
        <v>226.42349999999993</v>
      </c>
      <c r="H47" s="12">
        <f>G47/12</f>
        <v>18.868624999999994</v>
      </c>
      <c r="I47" s="61"/>
      <c r="J47" s="13">
        <f>35.99*12</f>
        <v>431.88</v>
      </c>
      <c r="K47" s="13"/>
      <c r="L47" s="62">
        <f>M47*$J$55/($J$55+$K$55)+N47*$K$55/($J$55+$K$55)</f>
        <v>0.146676</v>
      </c>
      <c r="M47" s="14">
        <v>0.14867249999999999</v>
      </c>
      <c r="N47" s="14">
        <v>0.14504250000000002</v>
      </c>
      <c r="O47" s="63">
        <f>P47*$J$56/($J$56+$K$56)+Q47*$K$56/($J$56+$K$56)</f>
        <v>-5.5000000000000007E-2</v>
      </c>
      <c r="P47" s="15">
        <v>-5.5E-2</v>
      </c>
      <c r="Q47" s="15">
        <v>-5.5E-2</v>
      </c>
      <c r="R47" s="77">
        <v>0</v>
      </c>
      <c r="S47" s="77">
        <v>0</v>
      </c>
      <c r="T47" s="77">
        <f>V47*verbruik</f>
        <v>0</v>
      </c>
      <c r="U47" s="77">
        <f>IF(verbruik&gt;teruglevering,W47*teruglevering,W47*verbruik+X47*(teruglevering-verbruik))</f>
        <v>0</v>
      </c>
      <c r="V47" s="14">
        <v>0</v>
      </c>
      <c r="W47" s="15">
        <v>0</v>
      </c>
      <c r="X47" s="14">
        <v>0</v>
      </c>
      <c r="Y47" s="62">
        <v>0</v>
      </c>
      <c r="Z47" s="62">
        <v>0</v>
      </c>
      <c r="AA47" s="14">
        <v>0</v>
      </c>
      <c r="AB47" s="105"/>
      <c r="AC47" s="3"/>
      <c r="AD47" s="3"/>
      <c r="AE47" s="3"/>
      <c r="AF47" s="9"/>
      <c r="AG47" s="3"/>
      <c r="AH47" s="3"/>
      <c r="AI47" s="22"/>
      <c r="AJ47" s="88"/>
      <c r="AK47" s="3"/>
      <c r="AL47" s="3"/>
      <c r="AM47" s="3"/>
      <c r="AN47" s="3"/>
    </row>
    <row r="48" spans="2:40" x14ac:dyDescent="0.25">
      <c r="B48" s="54" t="s">
        <v>173</v>
      </c>
      <c r="C48" s="5" t="s">
        <v>183</v>
      </c>
      <c r="D48" s="74"/>
      <c r="E48" s="79">
        <v>0.94899999999999995</v>
      </c>
      <c r="F48" s="55">
        <v>45746</v>
      </c>
      <c r="G48" s="12">
        <f>I48+J48+IF(teruglevering&gt;0,1,0)*K48+IF(verbruik&gt;teruglevering,verbruik-teruglevering,0)*L48+R48+T48+IF(teruglevering-verbruik&gt;0,teruglevering-verbruik,0)*O48+S48+U48+energiebelasting*IF(verbruik&gt;teruglevering,verbruik-teruglevering,0)+Y48+Z48+teruglevering*AA48+teruggaaf+netbeheer</f>
        <v>236.04349999999994</v>
      </c>
      <c r="H48" s="12">
        <f>G48/12</f>
        <v>19.67029166666666</v>
      </c>
      <c r="I48" s="61"/>
      <c r="J48" s="13">
        <v>429.5</v>
      </c>
      <c r="K48" s="13"/>
      <c r="L48" s="62">
        <f>M48*$J$55/($J$55+$K$55)+N48*$K$55/($J$55+$K$55)</f>
        <v>0.17755399999999999</v>
      </c>
      <c r="M48" s="14">
        <v>0.18795999999999999</v>
      </c>
      <c r="N48" s="14">
        <v>0.16904</v>
      </c>
      <c r="O48" s="63">
        <f>P48*$J$56/($J$56+$K$56)+Q48*$K$56/($J$56+$K$56)</f>
        <v>-0.04</v>
      </c>
      <c r="P48" s="15">
        <v>-0.04</v>
      </c>
      <c r="Q48" s="15">
        <v>-0.04</v>
      </c>
      <c r="R48" s="77">
        <v>0</v>
      </c>
      <c r="S48" s="77">
        <v>0</v>
      </c>
      <c r="T48" s="77">
        <f>V48*verbruik</f>
        <v>0</v>
      </c>
      <c r="U48" s="77">
        <f>IF(verbruik&gt;teruglevering,W48*teruglevering,W48*verbruik+X48*(teruglevering-verbruik))</f>
        <v>0</v>
      </c>
      <c r="V48" s="14">
        <v>0</v>
      </c>
      <c r="W48" s="15">
        <v>0</v>
      </c>
      <c r="X48" s="14">
        <v>0</v>
      </c>
      <c r="Y48" s="62">
        <v>0</v>
      </c>
      <c r="Z48" s="62">
        <v>0</v>
      </c>
      <c r="AA48" s="14">
        <v>0</v>
      </c>
      <c r="AB48" s="105"/>
      <c r="AC48" s="3"/>
      <c r="AD48" s="3"/>
      <c r="AE48" s="3"/>
      <c r="AF48" s="9"/>
      <c r="AG48" s="3"/>
      <c r="AH48" s="3"/>
      <c r="AI48" s="22"/>
      <c r="AJ48" s="88"/>
      <c r="AK48" s="3"/>
      <c r="AL48" s="3"/>
      <c r="AM48" s="3"/>
      <c r="AN48" s="3"/>
    </row>
    <row r="49" spans="2:40" x14ac:dyDescent="0.25">
      <c r="B49" s="44" t="s">
        <v>176</v>
      </c>
      <c r="C49" s="9" t="s">
        <v>182</v>
      </c>
      <c r="D49" s="74"/>
      <c r="E49" s="79">
        <v>1</v>
      </c>
      <c r="F49" s="55">
        <v>45692</v>
      </c>
      <c r="G49" s="12">
        <f>I49+J49+IF(teruglevering&gt;0,1,0)*K49+IF(verbruik&gt;teruglevering,verbruik-teruglevering,0)*L49+R49+T49+IF(teruglevering-verbruik&gt;0,teruglevering-verbruik,0)*O49+S49+U49+energiebelasting*IF(verbruik&gt;teruglevering,verbruik-teruglevering,0)+Y49+Z49+teruglevering*AA49+teruggaaf+netbeheer</f>
        <v>252.36029999999994</v>
      </c>
      <c r="H49" s="12">
        <f>G49/12</f>
        <v>21.030024999999995</v>
      </c>
      <c r="I49" s="61"/>
      <c r="J49" s="13">
        <f>8.57*12</f>
        <v>102.84</v>
      </c>
      <c r="K49" s="13"/>
      <c r="L49" s="62">
        <f>M49*$J$55/($J$55+$K$55)+N49*$K$55/($J$55+$K$55)</f>
        <v>0.13691490000000001</v>
      </c>
      <c r="M49" s="14">
        <v>0.15493399999999999</v>
      </c>
      <c r="N49" s="14">
        <v>0.122172</v>
      </c>
      <c r="O49" s="63">
        <f>P49*$J$56/($J$56+$K$56)+Q49*$K$56/($J$56+$K$56)</f>
        <v>-2.7229000000000003E-2</v>
      </c>
      <c r="P49" s="15">
        <v>-2.7229E-2</v>
      </c>
      <c r="Q49" s="15">
        <v>-2.7229E-2</v>
      </c>
      <c r="R49" s="77">
        <v>0</v>
      </c>
      <c r="S49" s="77">
        <v>0</v>
      </c>
      <c r="T49" s="77">
        <f>V49*verbruik</f>
        <v>0</v>
      </c>
      <c r="U49" s="77">
        <f>IF(verbruik&gt;teruglevering,W49*teruglevering,W49*verbruik+X49*(teruglevering-verbruik))</f>
        <v>0</v>
      </c>
      <c r="V49" s="14">
        <v>0</v>
      </c>
      <c r="W49" s="15">
        <v>0</v>
      </c>
      <c r="X49" s="14">
        <v>0</v>
      </c>
      <c r="Y49" s="64">
        <f>_xlfn.XLOOKUP("Ja",Terugleverkosten!C:C,Terugleverkosten!M:M,0)</f>
        <v>332.76</v>
      </c>
      <c r="Z49" s="64">
        <v>0</v>
      </c>
      <c r="AA49" s="14">
        <v>0</v>
      </c>
      <c r="AB49" s="105"/>
      <c r="AC49" s="3"/>
      <c r="AD49" s="3"/>
      <c r="AE49" s="3"/>
      <c r="AF49" s="9"/>
      <c r="AG49" s="3"/>
      <c r="AH49" s="3"/>
      <c r="AI49" s="22"/>
      <c r="AJ49" s="88"/>
      <c r="AK49" s="3"/>
      <c r="AL49" s="3"/>
      <c r="AM49" s="3"/>
      <c r="AN49" s="3"/>
    </row>
    <row r="50" spans="2:40" x14ac:dyDescent="0.25">
      <c r="B50" s="44" t="s">
        <v>171</v>
      </c>
      <c r="C50" s="9" t="s">
        <v>183</v>
      </c>
      <c r="D50" s="74"/>
      <c r="E50" s="80">
        <v>0.66200000000000003</v>
      </c>
      <c r="F50" s="55">
        <v>45746</v>
      </c>
      <c r="G50" s="12">
        <f>I50+J50+IF(teruglevering&gt;0,1,0)*K50+IF(verbruik&gt;teruglevering,verbruik-teruglevering,0)*L50+R50+T50+IF(teruglevering-verbruik&gt;0,teruglevering-verbruik,0)*O50+S50+U50+energiebelasting*IF(verbruik&gt;teruglevering,verbruik-teruglevering,0)+Y50+Z50+teruglevering*AA50+teruggaaf+netbeheer</f>
        <v>270.42349999999993</v>
      </c>
      <c r="H50" s="12">
        <f>G50/12</f>
        <v>22.535291666666662</v>
      </c>
      <c r="I50" s="61"/>
      <c r="J50" s="13">
        <f>37.99*12</f>
        <v>455.88</v>
      </c>
      <c r="K50" s="13"/>
      <c r="L50" s="62">
        <f>M50*$J$55/($J$55+$K$55)+N50*$K$55/($J$55+$K$55)</f>
        <v>0.18911500000000001</v>
      </c>
      <c r="M50" s="14">
        <v>0.2121325</v>
      </c>
      <c r="N50" s="14">
        <v>0.1702825</v>
      </c>
      <c r="O50" s="63">
        <f>P50*$J$56/($J$56+$K$56)+Q50*$K$56/($J$56+$K$56)</f>
        <v>-3.0000000000000002E-2</v>
      </c>
      <c r="P50" s="15">
        <v>-0.03</v>
      </c>
      <c r="Q50" s="15">
        <v>-0.03</v>
      </c>
      <c r="R50" s="77">
        <v>0</v>
      </c>
      <c r="S50" s="77">
        <v>0</v>
      </c>
      <c r="T50" s="77">
        <f>V50*verbruik</f>
        <v>0</v>
      </c>
      <c r="U50" s="77">
        <f>IF(verbruik&gt;teruglevering,W50*teruglevering,W50*verbruik+X50*(teruglevering-verbruik))</f>
        <v>0</v>
      </c>
      <c r="V50" s="14">
        <v>0</v>
      </c>
      <c r="W50" s="15">
        <v>0</v>
      </c>
      <c r="X50" s="14">
        <v>0</v>
      </c>
      <c r="Y50" s="64">
        <v>0</v>
      </c>
      <c r="Z50" s="64">
        <v>0</v>
      </c>
      <c r="AA50" s="14">
        <v>0</v>
      </c>
      <c r="AB50" s="105"/>
      <c r="AC50" s="3"/>
      <c r="AD50" s="3"/>
      <c r="AE50" s="3"/>
      <c r="AF50" s="9"/>
      <c r="AG50" s="3"/>
      <c r="AH50" s="3"/>
      <c r="AI50" s="22"/>
      <c r="AJ50" s="88"/>
      <c r="AK50" s="3"/>
      <c r="AL50" s="3"/>
      <c r="AM50" s="3"/>
      <c r="AN50" s="3"/>
    </row>
    <row r="51" spans="2:40" x14ac:dyDescent="0.25">
      <c r="B51" s="48" t="s">
        <v>170</v>
      </c>
      <c r="C51" s="72" t="s">
        <v>183</v>
      </c>
      <c r="D51" s="76"/>
      <c r="E51" s="81">
        <v>0.41499999999999998</v>
      </c>
      <c r="F51" s="56">
        <v>45746</v>
      </c>
      <c r="G51" s="12">
        <f>I51+J51+IF(teruglevering&gt;0,1,0)*K51+IF(verbruik&gt;teruglevering,verbruik-teruglevering,0)*L51+R51+T51+IF(teruglevering-verbruik&gt;0,teruglevering-verbruik,0)*O51+S51+U51+energiebelasting*IF(verbruik&gt;teruglevering,verbruik-teruglevering,0)+Y51+Z51+teruglevering*AA51+teruggaaf+netbeheer</f>
        <v>294.54349999999994</v>
      </c>
      <c r="H51" s="12">
        <f>G51/12</f>
        <v>24.54529166666666</v>
      </c>
      <c r="I51" s="61"/>
      <c r="J51" s="13">
        <f>40*12</f>
        <v>480</v>
      </c>
      <c r="K51" s="13"/>
      <c r="L51" s="62">
        <f>M51*$J$55/($J$55+$K$55)+N51*$K$55/($J$55+$K$55)</f>
        <v>0.14103759999999999</v>
      </c>
      <c r="M51" s="14">
        <v>0.148225</v>
      </c>
      <c r="N51" s="14">
        <v>0.135157</v>
      </c>
      <c r="O51" s="63">
        <f>P51*$J$56/($J$56+$K$56)+Q51*$K$56/($J$56+$K$56)</f>
        <v>-3.0000000000000002E-2</v>
      </c>
      <c r="P51" s="15">
        <v>-0.03</v>
      </c>
      <c r="Q51" s="15">
        <v>-0.03</v>
      </c>
      <c r="R51" s="77">
        <v>0</v>
      </c>
      <c r="S51" s="77">
        <v>0</v>
      </c>
      <c r="T51" s="77">
        <f>V51*verbruik</f>
        <v>0</v>
      </c>
      <c r="U51" s="77">
        <f>IF(verbruik&gt;teruglevering,W51*teruglevering,W51*verbruik+X51*(teruglevering-verbruik))</f>
        <v>0</v>
      </c>
      <c r="V51" s="14">
        <v>0</v>
      </c>
      <c r="W51" s="15">
        <v>0</v>
      </c>
      <c r="X51" s="14">
        <v>0</v>
      </c>
      <c r="Y51" s="64">
        <v>0</v>
      </c>
      <c r="Z51" s="64">
        <v>0</v>
      </c>
      <c r="AA51" s="14">
        <v>0</v>
      </c>
      <c r="AB51" s="105"/>
      <c r="AC51" s="3"/>
      <c r="AD51" s="3"/>
      <c r="AE51" s="3"/>
      <c r="AF51" s="9"/>
      <c r="AG51" s="3"/>
      <c r="AH51" s="3"/>
      <c r="AI51" s="22"/>
      <c r="AJ51" s="88"/>
      <c r="AK51" s="3"/>
      <c r="AL51" s="3"/>
      <c r="AM51" s="3"/>
      <c r="AN51" s="3"/>
    </row>
    <row r="52" spans="2:40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21"/>
      <c r="R52" s="21"/>
      <c r="S52" s="21"/>
      <c r="T52" s="21"/>
      <c r="U52" s="21"/>
      <c r="V52" s="21"/>
      <c r="W52" s="21"/>
      <c r="X52" s="20"/>
      <c r="Y52" s="20"/>
      <c r="Z52" s="20"/>
      <c r="AA52" s="20"/>
      <c r="AJ52" s="3"/>
      <c r="AK52" s="3"/>
      <c r="AL52" s="3"/>
      <c r="AM52" s="3"/>
      <c r="AN52" s="3"/>
    </row>
    <row r="53" spans="2:40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90"/>
      <c r="N53" s="5"/>
      <c r="O53" s="5"/>
      <c r="P53" s="5"/>
      <c r="Q53" s="21"/>
      <c r="R53" s="21"/>
      <c r="S53" s="21"/>
      <c r="T53" s="21"/>
      <c r="U53" s="21"/>
      <c r="V53" s="21"/>
      <c r="W53" s="21"/>
      <c r="X53" s="20"/>
      <c r="Y53" s="20"/>
      <c r="Z53" s="20"/>
      <c r="AA53" s="20"/>
      <c r="AJ53" s="3"/>
      <c r="AK53" s="3"/>
      <c r="AL53" s="3"/>
      <c r="AM53" s="3"/>
      <c r="AN53" s="3"/>
    </row>
    <row r="54" spans="2:40" x14ac:dyDescent="0.25">
      <c r="B54" s="40" t="s">
        <v>44</v>
      </c>
      <c r="C54" s="71"/>
      <c r="D54" s="71"/>
      <c r="E54" s="71"/>
      <c r="F54" s="91" t="s">
        <v>53</v>
      </c>
      <c r="G54" s="91"/>
      <c r="H54" s="91"/>
      <c r="I54" s="41" t="s">
        <v>42</v>
      </c>
      <c r="J54" s="42" t="s">
        <v>27</v>
      </c>
      <c r="K54" s="43" t="s">
        <v>28</v>
      </c>
      <c r="L54" s="21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</row>
    <row r="55" spans="2:40" x14ac:dyDescent="0.25">
      <c r="B55" s="44" t="s">
        <v>30</v>
      </c>
      <c r="C55" s="9"/>
      <c r="D55" s="9"/>
      <c r="E55" s="9"/>
      <c r="F55" s="98">
        <v>1200</v>
      </c>
      <c r="G55" s="98"/>
      <c r="H55" s="98"/>
      <c r="I55" s="45">
        <v>0.45</v>
      </c>
      <c r="J55" s="46">
        <f>F55*I55</f>
        <v>540</v>
      </c>
      <c r="K55" s="47">
        <f>F55*(1-I55)</f>
        <v>660</v>
      </c>
      <c r="L55" s="33"/>
      <c r="M55" s="84"/>
      <c r="N55" s="82"/>
      <c r="O55" s="82"/>
      <c r="P55" s="82"/>
      <c r="Q55" s="82"/>
      <c r="R55" s="82"/>
      <c r="S55" s="82"/>
      <c r="T55" s="82"/>
      <c r="U55" s="85"/>
      <c r="V55" s="82"/>
      <c r="W55" s="82"/>
      <c r="X55" s="82"/>
      <c r="Y55" s="82"/>
      <c r="Z55" s="82"/>
      <c r="AA55" s="82"/>
      <c r="AB55" s="82"/>
      <c r="AC55" s="82"/>
      <c r="AD55" s="85"/>
      <c r="AE55" s="82"/>
      <c r="AF55" s="82"/>
      <c r="AG55" s="82"/>
      <c r="AH55" s="82"/>
      <c r="AI55" s="82"/>
      <c r="AJ55" s="82"/>
      <c r="AK55" s="82"/>
      <c r="AN55" s="3"/>
    </row>
    <row r="56" spans="2:40" x14ac:dyDescent="0.25">
      <c r="B56" s="44" t="s">
        <v>31</v>
      </c>
      <c r="C56" s="9"/>
      <c r="D56" s="9"/>
      <c r="E56" s="9"/>
      <c r="F56" s="98">
        <v>2000</v>
      </c>
      <c r="G56" s="98"/>
      <c r="H56" s="98"/>
      <c r="I56" s="45">
        <v>0.7</v>
      </c>
      <c r="J56" s="46">
        <f>F56*I56</f>
        <v>1400</v>
      </c>
      <c r="K56" s="47">
        <f>F56*(1-I56)</f>
        <v>600.00000000000011</v>
      </c>
      <c r="L56" s="33"/>
      <c r="M56" s="84"/>
      <c r="N56" s="82"/>
      <c r="O56" s="82"/>
      <c r="P56" s="82"/>
      <c r="Q56" s="82"/>
      <c r="R56" s="82"/>
      <c r="S56" s="82"/>
      <c r="T56" s="82"/>
      <c r="U56" s="85"/>
      <c r="V56" s="82"/>
      <c r="W56" s="82"/>
      <c r="X56" s="82"/>
      <c r="Y56" s="82"/>
      <c r="Z56" s="82"/>
      <c r="AA56" s="82"/>
      <c r="AB56" s="82"/>
      <c r="AC56" s="82"/>
      <c r="AD56" s="85"/>
      <c r="AE56" s="82"/>
      <c r="AF56" s="82"/>
      <c r="AG56" s="82"/>
      <c r="AH56" s="82"/>
      <c r="AI56" s="82"/>
      <c r="AJ56" s="82"/>
      <c r="AK56" s="82"/>
      <c r="AN56" s="3"/>
    </row>
    <row r="57" spans="2:40" x14ac:dyDescent="0.25">
      <c r="B57" s="48" t="s">
        <v>32</v>
      </c>
      <c r="C57" s="72"/>
      <c r="D57" s="72"/>
      <c r="E57" s="72"/>
      <c r="F57" s="92" t="s">
        <v>153</v>
      </c>
      <c r="G57" s="92"/>
      <c r="H57" s="92"/>
      <c r="I57" s="92"/>
      <c r="J57" s="92"/>
      <c r="K57" s="93"/>
      <c r="M57" s="84"/>
      <c r="N57" s="82"/>
      <c r="O57" s="82"/>
      <c r="P57" s="82"/>
      <c r="Q57" s="82"/>
      <c r="R57" s="82"/>
      <c r="S57" s="82"/>
      <c r="T57" s="82"/>
      <c r="U57" s="85"/>
      <c r="V57" s="82"/>
      <c r="W57" s="82"/>
      <c r="X57" s="82"/>
      <c r="Y57" s="82"/>
      <c r="Z57" s="82"/>
      <c r="AA57" s="82"/>
      <c r="AB57" s="82"/>
      <c r="AC57" s="82"/>
      <c r="AD57" s="85"/>
      <c r="AE57" s="82"/>
      <c r="AF57" s="82"/>
      <c r="AG57" s="82"/>
      <c r="AH57" s="82"/>
      <c r="AI57" s="82"/>
      <c r="AJ57" s="82"/>
      <c r="AK57" s="82"/>
      <c r="AN57" s="3"/>
    </row>
    <row r="58" spans="2:40" x14ac:dyDescent="0.25">
      <c r="I58" s="31"/>
      <c r="M58" s="84"/>
      <c r="N58" s="82"/>
      <c r="O58" s="82"/>
      <c r="P58" s="82"/>
      <c r="Q58" s="82"/>
      <c r="R58" s="82"/>
      <c r="S58" s="82"/>
      <c r="T58" s="82"/>
      <c r="U58" s="85"/>
      <c r="V58" s="82"/>
      <c r="W58" s="82"/>
      <c r="X58" s="82"/>
      <c r="Y58" s="82"/>
      <c r="Z58" s="82"/>
      <c r="AA58" s="82"/>
      <c r="AB58" s="82"/>
      <c r="AC58" s="82"/>
      <c r="AD58" s="85"/>
      <c r="AE58" s="82"/>
      <c r="AF58" s="82"/>
      <c r="AG58" s="82"/>
      <c r="AH58" s="82"/>
      <c r="AI58" s="82"/>
      <c r="AJ58" s="82"/>
      <c r="AK58" s="82"/>
      <c r="AN58" s="3"/>
    </row>
    <row r="59" spans="2:40" x14ac:dyDescent="0.25">
      <c r="B59" s="96" t="str">
        <f>"Kosten per jaar bij "&amp;F57</f>
        <v>Kosten per jaar bij Tibber (dynamisch)</v>
      </c>
      <c r="C59" s="97"/>
      <c r="D59" s="97"/>
      <c r="E59" s="97"/>
      <c r="F59" s="97"/>
      <c r="G59" s="41" t="s">
        <v>41</v>
      </c>
      <c r="H59" s="49" t="s">
        <v>40</v>
      </c>
      <c r="J59" s="109"/>
      <c r="K59" s="109"/>
      <c r="M59" s="84"/>
      <c r="N59" s="82"/>
      <c r="O59" s="82"/>
      <c r="P59" s="82"/>
      <c r="Q59" s="82"/>
      <c r="R59" s="82"/>
      <c r="S59" s="82"/>
      <c r="T59" s="82"/>
      <c r="U59" s="85"/>
      <c r="V59" s="82"/>
      <c r="W59" s="82"/>
      <c r="X59" s="82"/>
      <c r="Y59" s="82"/>
      <c r="Z59" s="82"/>
      <c r="AA59" s="82"/>
      <c r="AB59" s="82"/>
      <c r="AC59" s="82"/>
      <c r="AD59" s="85"/>
      <c r="AE59" s="82"/>
      <c r="AF59" s="82"/>
      <c r="AG59" s="82"/>
      <c r="AH59" s="82"/>
      <c r="AI59" s="82"/>
      <c r="AJ59" s="82"/>
      <c r="AK59" s="82"/>
      <c r="AN59" s="3"/>
    </row>
    <row r="60" spans="2:40" x14ac:dyDescent="0.25">
      <c r="B60" s="94" t="s">
        <v>36</v>
      </c>
      <c r="C60" s="95"/>
      <c r="D60" s="95"/>
      <c r="E60" s="95"/>
      <c r="F60" s="95"/>
      <c r="G60" s="50">
        <f>_xlfn.XLOOKUP(leverancier,$B:$B,$I:$I,0)</f>
        <v>0</v>
      </c>
      <c r="H60" s="51">
        <f>G60/12</f>
        <v>0</v>
      </c>
      <c r="I60" s="23"/>
      <c r="M60" s="84"/>
      <c r="N60" s="82"/>
      <c r="O60" s="82"/>
      <c r="P60" s="82"/>
      <c r="Q60" s="82"/>
      <c r="R60" s="82"/>
      <c r="S60" s="82"/>
      <c r="T60" s="82"/>
      <c r="U60" s="85"/>
      <c r="V60" s="82"/>
      <c r="W60" s="82"/>
      <c r="X60" s="82"/>
      <c r="Y60" s="82"/>
      <c r="Z60" s="82"/>
      <c r="AA60" s="82"/>
      <c r="AB60" s="82"/>
      <c r="AC60" s="82"/>
      <c r="AD60" s="85"/>
      <c r="AE60" s="82"/>
      <c r="AF60" s="82"/>
      <c r="AG60" s="82"/>
      <c r="AH60" s="82"/>
      <c r="AI60" s="82"/>
      <c r="AJ60" s="82"/>
      <c r="AK60" s="82"/>
      <c r="AN60" s="3"/>
    </row>
    <row r="61" spans="2:40" x14ac:dyDescent="0.25">
      <c r="B61" s="94" t="s">
        <v>26</v>
      </c>
      <c r="C61" s="95"/>
      <c r="D61" s="95"/>
      <c r="E61" s="95"/>
      <c r="F61" s="95"/>
      <c r="G61" s="50">
        <f>_xlfn.XLOOKUP(leverancier,$B:$B,$J:$J,0)</f>
        <v>71.88</v>
      </c>
      <c r="H61" s="51">
        <f>G61/12</f>
        <v>5.9899999999999993</v>
      </c>
      <c r="I61" s="23"/>
      <c r="M61" s="84"/>
      <c r="N61" s="82"/>
      <c r="O61" s="82"/>
      <c r="P61" s="82"/>
      <c r="Q61" s="82"/>
      <c r="R61" s="82"/>
      <c r="S61" s="82"/>
      <c r="T61" s="82"/>
      <c r="U61" s="85"/>
      <c r="V61" s="82"/>
      <c r="W61" s="82"/>
      <c r="X61" s="82"/>
      <c r="Y61" s="82"/>
      <c r="Z61" s="82"/>
      <c r="AA61" s="82"/>
      <c r="AB61" s="82"/>
      <c r="AC61" s="82"/>
      <c r="AD61" s="85"/>
      <c r="AE61" s="82"/>
      <c r="AF61" s="82"/>
      <c r="AG61" s="82"/>
      <c r="AH61" s="82"/>
      <c r="AI61" s="82"/>
      <c r="AJ61" s="82"/>
      <c r="AK61" s="82"/>
      <c r="AN61" s="3"/>
    </row>
    <row r="62" spans="2:40" x14ac:dyDescent="0.25">
      <c r="B62" s="94" t="s">
        <v>192</v>
      </c>
      <c r="C62" s="95"/>
      <c r="D62" s="95"/>
      <c r="E62" s="95"/>
      <c r="F62" s="95"/>
      <c r="G62" s="50">
        <f>IF(teruglevering&gt;0,1,0)*_xlfn.XLOOKUP(leverancier,$B:$B,$K:$K,0)</f>
        <v>0</v>
      </c>
      <c r="H62" s="51"/>
      <c r="I62" s="23"/>
      <c r="M62" s="84"/>
      <c r="N62" s="82"/>
      <c r="O62" s="82"/>
      <c r="P62" s="82"/>
      <c r="Q62" s="82"/>
      <c r="R62" s="82"/>
      <c r="S62" s="82"/>
      <c r="T62" s="82"/>
      <c r="U62" s="85"/>
      <c r="V62" s="82"/>
      <c r="W62" s="82"/>
      <c r="X62" s="82"/>
      <c r="Y62" s="82"/>
      <c r="Z62" s="82"/>
      <c r="AA62" s="82"/>
      <c r="AB62" s="82"/>
      <c r="AC62" s="82"/>
      <c r="AD62" s="85"/>
      <c r="AE62" s="82"/>
      <c r="AF62" s="82"/>
      <c r="AG62" s="82"/>
      <c r="AH62" s="82"/>
      <c r="AI62" s="82"/>
      <c r="AJ62" s="82"/>
      <c r="AK62" s="82"/>
      <c r="AN62" s="3"/>
    </row>
    <row r="63" spans="2:40" x14ac:dyDescent="0.25">
      <c r="B63" s="94" t="s">
        <v>65</v>
      </c>
      <c r="C63" s="95"/>
      <c r="D63" s="95"/>
      <c r="E63" s="95"/>
      <c r="F63" s="95"/>
      <c r="G63" s="50">
        <f>IF(verbruik&gt;teruglevering,verbruik-teruglevering,0)*_xlfn.XLOOKUP(leverancier,$B:$B,$L:$L,0)+_xlfn.XLOOKUP(leverancier,$B:$B,$R:$R,0)+_xlfn.XLOOKUP(leverancier,$B:$B,$T:$T,0)</f>
        <v>172.92221138959954</v>
      </c>
      <c r="H63" s="51">
        <f>G63/12</f>
        <v>14.410184282466629</v>
      </c>
      <c r="I63" s="23"/>
      <c r="X63" s="3"/>
      <c r="Y63" s="3"/>
      <c r="Z63" s="3"/>
      <c r="AA63" s="3"/>
      <c r="AB63" s="3"/>
      <c r="AC63" s="3"/>
      <c r="AD63" s="3"/>
      <c r="AE63" s="3"/>
      <c r="AF63" s="3"/>
      <c r="AH63" s="3"/>
      <c r="AJ63" s="3"/>
      <c r="AN63" s="3"/>
    </row>
    <row r="64" spans="2:40" x14ac:dyDescent="0.25">
      <c r="B64" s="94" t="s">
        <v>64</v>
      </c>
      <c r="C64" s="95"/>
      <c r="D64" s="95"/>
      <c r="E64" s="95"/>
      <c r="F64" s="95"/>
      <c r="G64" s="50">
        <f>IF(verbruik&lt;teruglevering,teruglevering-verbruik,0)*_xlfn.XLOOKUP(leverancier,$B:$B,$O:$O,0)+_xlfn.XLOOKUP(leverancier,$B:$B,$S:$S,0)+_xlfn.XLOOKUP(leverancier,$B:$B,$U:$U,0)</f>
        <v>-120.86983586833233</v>
      </c>
      <c r="H64" s="51"/>
      <c r="I64" s="23"/>
      <c r="X64" s="3"/>
      <c r="Y64" s="3"/>
      <c r="Z64" s="3"/>
      <c r="AA64" s="3"/>
      <c r="AB64" s="3"/>
      <c r="AC64" s="3"/>
      <c r="AD64" s="3"/>
      <c r="AE64" s="3"/>
      <c r="AF64" s="3"/>
      <c r="AH64" s="3"/>
      <c r="AJ64" s="3"/>
      <c r="AN64" s="3"/>
    </row>
    <row r="65" spans="2:40" x14ac:dyDescent="0.25">
      <c r="B65" s="94" t="s">
        <v>195</v>
      </c>
      <c r="C65" s="95"/>
      <c r="D65" s="95"/>
      <c r="E65" s="95"/>
      <c r="F65" s="95"/>
      <c r="G65" s="50">
        <f>energiebelasting*IF(verbruik&gt;teruglevering,verbruik-teruglevering,0)</f>
        <v>0</v>
      </c>
      <c r="H65" s="51"/>
      <c r="I65" s="23"/>
      <c r="X65" s="3"/>
      <c r="Y65" s="3"/>
      <c r="Z65" s="3"/>
      <c r="AA65" s="3"/>
      <c r="AB65" s="3"/>
      <c r="AC65" s="3"/>
      <c r="AD65" s="3"/>
      <c r="AE65" s="3"/>
      <c r="AF65" s="3"/>
      <c r="AH65" s="3"/>
      <c r="AJ65" s="3"/>
      <c r="AN65" s="3"/>
    </row>
    <row r="66" spans="2:40" x14ac:dyDescent="0.25">
      <c r="B66" s="94" t="s">
        <v>185</v>
      </c>
      <c r="C66" s="95"/>
      <c r="D66" s="95"/>
      <c r="E66" s="95"/>
      <c r="F66" s="95"/>
      <c r="G66" s="50">
        <f>_xlfn.XLOOKUP($F$57,$B:$B,$Y:$Y,0)</f>
        <v>0</v>
      </c>
      <c r="H66" s="51">
        <f t="shared" ref="H66:H70" si="0">G66/12</f>
        <v>0</v>
      </c>
      <c r="I66" s="23"/>
      <c r="X66" s="3"/>
      <c r="Y66" s="3"/>
      <c r="Z66" s="3"/>
      <c r="AA66" s="3"/>
      <c r="AB66" s="3"/>
      <c r="AC66" s="3"/>
      <c r="AD66" s="3"/>
      <c r="AE66" s="3"/>
      <c r="AF66" s="3"/>
      <c r="AH66" s="3"/>
      <c r="AJ66" s="3"/>
      <c r="AN66" s="3"/>
    </row>
    <row r="67" spans="2:40" x14ac:dyDescent="0.25">
      <c r="B67" s="94" t="s">
        <v>196</v>
      </c>
      <c r="C67" s="95"/>
      <c r="D67" s="95"/>
      <c r="E67" s="95"/>
      <c r="F67" s="95"/>
      <c r="G67" s="50">
        <f>_xlfn.XLOOKUP($F$57,$B:$B,$Z:$Z,0)</f>
        <v>0</v>
      </c>
      <c r="H67" s="51">
        <f t="shared" si="0"/>
        <v>0</v>
      </c>
      <c r="I67" s="23"/>
      <c r="X67" s="3"/>
      <c r="Y67" s="3"/>
      <c r="Z67" s="3"/>
      <c r="AA67" s="3"/>
      <c r="AB67" s="3"/>
      <c r="AC67" s="3"/>
      <c r="AD67" s="3"/>
      <c r="AE67" s="3"/>
      <c r="AF67" s="3"/>
      <c r="AH67" s="3"/>
      <c r="AJ67" s="3"/>
      <c r="AN67" s="3"/>
    </row>
    <row r="68" spans="2:40" x14ac:dyDescent="0.25">
      <c r="B68" s="54" t="s">
        <v>169</v>
      </c>
      <c r="C68" s="5"/>
      <c r="D68" s="5"/>
      <c r="E68" s="5"/>
      <c r="F68" s="5"/>
      <c r="G68" s="50">
        <f>teruglevering*_xlfn.XLOOKUP(leverancier,$B:$B,$AA:$AA,0)</f>
        <v>0</v>
      </c>
      <c r="H68" s="51">
        <f t="shared" si="0"/>
        <v>0</v>
      </c>
      <c r="I68" s="23"/>
      <c r="X68" s="3"/>
      <c r="Y68" s="3"/>
      <c r="Z68" s="3"/>
      <c r="AA68" s="3"/>
      <c r="AB68" s="3"/>
      <c r="AC68" s="3"/>
      <c r="AD68" s="3"/>
      <c r="AE68" s="3"/>
      <c r="AF68" s="3"/>
      <c r="AH68" s="3"/>
      <c r="AJ68" s="3"/>
      <c r="AN68" s="3"/>
    </row>
    <row r="69" spans="2:40" x14ac:dyDescent="0.25">
      <c r="B69" s="94" t="s">
        <v>66</v>
      </c>
      <c r="C69" s="95"/>
      <c r="D69" s="95"/>
      <c r="E69" s="95"/>
      <c r="F69" s="95"/>
      <c r="G69" s="50">
        <v>-635.19000000000005</v>
      </c>
      <c r="H69" s="51">
        <f t="shared" si="0"/>
        <v>-52.932500000000005</v>
      </c>
      <c r="I69" s="23"/>
      <c r="X69" s="3"/>
      <c r="Y69" s="3"/>
      <c r="Z69" s="3"/>
      <c r="AA69" s="3"/>
      <c r="AB69" s="3"/>
      <c r="AC69" s="3"/>
      <c r="AD69" s="3"/>
      <c r="AE69" s="3"/>
      <c r="AF69" s="3"/>
      <c r="AH69" s="3"/>
      <c r="AJ69" s="3"/>
      <c r="AN69" s="3"/>
    </row>
    <row r="70" spans="2:40" ht="15" x14ac:dyDescent="0.4">
      <c r="B70" s="94" t="s">
        <v>67</v>
      </c>
      <c r="C70" s="95"/>
      <c r="D70" s="95"/>
      <c r="E70" s="95"/>
      <c r="F70" s="95"/>
      <c r="G70" s="57">
        <f>365*1.2979</f>
        <v>473.73349999999999</v>
      </c>
      <c r="H70" s="58">
        <f t="shared" si="0"/>
        <v>39.477791666666668</v>
      </c>
      <c r="O70" s="22"/>
      <c r="X70" s="3"/>
      <c r="Y70" s="3"/>
      <c r="Z70" s="3"/>
      <c r="AA70" s="3"/>
      <c r="AB70" s="3"/>
      <c r="AC70" s="3"/>
      <c r="AD70" s="3"/>
      <c r="AE70" s="3"/>
      <c r="AF70" s="3"/>
    </row>
    <row r="71" spans="2:40" x14ac:dyDescent="0.25">
      <c r="B71" s="102" t="s">
        <v>34</v>
      </c>
      <c r="C71" s="103"/>
      <c r="D71" s="103"/>
      <c r="E71" s="103"/>
      <c r="F71" s="103"/>
      <c r="G71" s="52">
        <f>SUM(G60:G70)</f>
        <v>-37.524124478732858</v>
      </c>
      <c r="H71" s="53">
        <f>G71/12</f>
        <v>-3.1270103732277383</v>
      </c>
      <c r="X71" s="3"/>
      <c r="Y71" s="3"/>
      <c r="Z71" s="3"/>
      <c r="AA71" s="3"/>
      <c r="AB71" s="3"/>
      <c r="AC71" s="3"/>
      <c r="AD71" s="3"/>
      <c r="AE71" s="3"/>
      <c r="AF71" s="3"/>
      <c r="AL71" s="3"/>
      <c r="AM71" s="3"/>
      <c r="AN71" s="3"/>
    </row>
    <row r="72" spans="2:40" x14ac:dyDescent="0.25">
      <c r="B72" s="104" t="s">
        <v>54</v>
      </c>
      <c r="C72" s="104"/>
      <c r="D72" s="104"/>
      <c r="E72" s="104"/>
      <c r="F72" s="104"/>
      <c r="G72" s="32">
        <v>0.1228375</v>
      </c>
      <c r="H72" s="9" t="s">
        <v>48</v>
      </c>
      <c r="X72" s="3"/>
      <c r="Y72" s="3"/>
      <c r="Z72" s="3"/>
      <c r="AA72" s="3"/>
      <c r="AB72" s="3"/>
      <c r="AC72" s="3"/>
      <c r="AD72" s="3"/>
      <c r="AE72" s="3"/>
      <c r="AF72" s="3"/>
      <c r="AL72" s="3"/>
      <c r="AM72" s="3"/>
      <c r="AN72" s="3"/>
    </row>
    <row r="73" spans="2:40" x14ac:dyDescent="0.25">
      <c r="X73" s="3"/>
      <c r="Y73" s="3"/>
      <c r="Z73" s="3"/>
      <c r="AA73" s="3"/>
      <c r="AB73" s="3"/>
      <c r="AC73" s="3"/>
      <c r="AD73" s="3"/>
      <c r="AE73" s="3"/>
      <c r="AF73" s="3"/>
      <c r="AL73" s="3"/>
      <c r="AM73" s="3"/>
      <c r="AN73" s="3"/>
    </row>
    <row r="74" spans="2:40" x14ac:dyDescent="0.25">
      <c r="C74" s="99" t="s">
        <v>38</v>
      </c>
      <c r="D74" s="100"/>
      <c r="E74" s="101" t="s">
        <v>68</v>
      </c>
      <c r="F74" s="101"/>
      <c r="G74" s="101"/>
      <c r="H74" s="100"/>
      <c r="X74" s="3"/>
      <c r="Y74" s="3"/>
      <c r="Z74" s="3"/>
      <c r="AA74" s="3"/>
      <c r="AB74" s="3"/>
      <c r="AC74" s="3"/>
      <c r="AD74" s="3"/>
      <c r="AE74" s="3"/>
      <c r="AF74" s="3"/>
      <c r="AL74" s="3"/>
      <c r="AM74" s="3"/>
      <c r="AN74" s="3"/>
    </row>
    <row r="75" spans="2:40" x14ac:dyDescent="0.25">
      <c r="C75" s="24" t="s">
        <v>0</v>
      </c>
      <c r="D75" s="25" t="s">
        <v>29</v>
      </c>
      <c r="E75" s="26" t="s">
        <v>1</v>
      </c>
      <c r="F75" s="25" t="s">
        <v>51</v>
      </c>
      <c r="G75" s="26" t="s">
        <v>20</v>
      </c>
      <c r="H75" s="25" t="s">
        <v>52</v>
      </c>
      <c r="AL75" s="3"/>
      <c r="AM75" s="3"/>
      <c r="AN75" s="3"/>
    </row>
    <row r="76" spans="2:40" x14ac:dyDescent="0.25">
      <c r="C76" s="27">
        <v>0.10074713985524164</v>
      </c>
      <c r="D76" s="28">
        <v>2.2211732620040388E-2</v>
      </c>
      <c r="E76" s="38">
        <v>0.14979800000000001</v>
      </c>
      <c r="F76" s="59">
        <v>-7.7197999999999989E-2</v>
      </c>
      <c r="G76" s="34">
        <f t="shared" ref="G76:G87" si="1">F$55*C76*E76</f>
        <v>18.110064067242586</v>
      </c>
      <c r="H76" s="35">
        <f t="shared" ref="H76:H87" si="2">F$56*D76*F76</f>
        <v>-3.4294026696037556</v>
      </c>
      <c r="AL76" s="3"/>
      <c r="AM76" s="3"/>
      <c r="AN76" s="3"/>
    </row>
    <row r="77" spans="2:40" x14ac:dyDescent="0.25">
      <c r="C77" s="27">
        <v>9.2575297688536062E-2</v>
      </c>
      <c r="D77" s="28">
        <v>2.6224005454593132E-2</v>
      </c>
      <c r="E77" s="38">
        <v>0.16189799999999999</v>
      </c>
      <c r="F77" s="59">
        <v>-0.10974699999999998</v>
      </c>
      <c r="G77" s="34">
        <f t="shared" si="1"/>
        <v>17.98530665421433</v>
      </c>
      <c r="H77" s="35">
        <f t="shared" si="2"/>
        <v>-5.756011853250464</v>
      </c>
      <c r="AL77" s="3"/>
      <c r="AM77" s="3"/>
      <c r="AN77" s="3"/>
    </row>
    <row r="78" spans="2:40" x14ac:dyDescent="0.25">
      <c r="C78" s="27">
        <v>8.8956339014709312E-2</v>
      </c>
      <c r="D78" s="28">
        <v>7.7885296200141618E-2</v>
      </c>
      <c r="E78" s="38">
        <v>0.13624600000000001</v>
      </c>
      <c r="F78" s="59">
        <v>-3.9324999999999992E-2</v>
      </c>
      <c r="G78" s="34">
        <f t="shared" si="1"/>
        <v>14.543934438477702</v>
      </c>
      <c r="H78" s="35">
        <f t="shared" si="2"/>
        <v>-6.1256785461411374</v>
      </c>
      <c r="AL78" s="3"/>
      <c r="AM78" s="3"/>
      <c r="AN78" s="3"/>
    </row>
    <row r="79" spans="2:40" x14ac:dyDescent="0.25">
      <c r="C79" s="27">
        <v>8.3352790100396895E-2</v>
      </c>
      <c r="D79" s="28">
        <v>0.10437154170928067</v>
      </c>
      <c r="E79" s="38">
        <v>8.4614081302730057E-2</v>
      </c>
      <c r="F79" s="59">
        <v>-1.6118463624986101E-2</v>
      </c>
      <c r="G79" s="34">
        <f t="shared" si="1"/>
        <v>8.4633837100372507</v>
      </c>
      <c r="H79" s="35">
        <f t="shared" si="2"/>
        <v>-3.3646177970495206</v>
      </c>
      <c r="AL79" s="3"/>
      <c r="AM79" s="3"/>
      <c r="AN79" s="3"/>
    </row>
    <row r="80" spans="2:40" x14ac:dyDescent="0.25">
      <c r="C80" s="27">
        <v>7.553116974083586E-2</v>
      </c>
      <c r="D80" s="28">
        <v>0.1290221068365982</v>
      </c>
      <c r="E80" s="38">
        <v>9.137254065136502E-2</v>
      </c>
      <c r="F80" s="59">
        <v>-2.1550731812493049E-2</v>
      </c>
      <c r="G80" s="34">
        <f t="shared" si="1"/>
        <v>8.2817698531076118</v>
      </c>
      <c r="H80" s="35">
        <f t="shared" si="2"/>
        <v>-5.561041644636707</v>
      </c>
      <c r="AL80" s="3"/>
      <c r="AM80" s="3"/>
      <c r="AN80" s="3"/>
    </row>
    <row r="81" spans="3:40" x14ac:dyDescent="0.25">
      <c r="C81" s="27">
        <v>6.6658883959841222E-2</v>
      </c>
      <c r="D81" s="28">
        <v>0.18776387905488684</v>
      </c>
      <c r="E81" s="38">
        <v>9.3783770325682511E-2</v>
      </c>
      <c r="F81" s="59">
        <v>-2.8017865906246518E-2</v>
      </c>
      <c r="G81" s="34">
        <f t="shared" si="1"/>
        <v>7.5018257561472854</v>
      </c>
      <c r="H81" s="35">
        <f t="shared" si="2"/>
        <v>-10.521486370793017</v>
      </c>
      <c r="AL81" s="3"/>
      <c r="AM81" s="3"/>
      <c r="AN81" s="3"/>
    </row>
    <row r="82" spans="3:40" x14ac:dyDescent="0.25">
      <c r="C82" s="27">
        <v>6.6191921550315197E-2</v>
      </c>
      <c r="D82" s="28">
        <v>0.13479138803660873</v>
      </c>
      <c r="E82" s="38">
        <v>9.2629885162841263E-2</v>
      </c>
      <c r="F82" s="59">
        <v>-2.8710432953123255E-2</v>
      </c>
      <c r="G82" s="34">
        <f t="shared" si="1"/>
        <v>7.3576201102961942</v>
      </c>
      <c r="H82" s="35">
        <f t="shared" si="2"/>
        <v>-7.73983821776695</v>
      </c>
      <c r="AL82" s="3"/>
      <c r="AM82" s="3"/>
      <c r="AN82" s="3"/>
    </row>
    <row r="83" spans="3:40" x14ac:dyDescent="0.25">
      <c r="C83" s="27">
        <v>7.2262432874153626E-2</v>
      </c>
      <c r="D83" s="28">
        <v>0.12587522618204702</v>
      </c>
      <c r="E83" s="38">
        <v>0.10506044258142062</v>
      </c>
      <c r="F83" s="59">
        <v>-3.5590716476561618E-2</v>
      </c>
      <c r="G83" s="34">
        <f t="shared" si="1"/>
        <v>9.1103078157225337</v>
      </c>
      <c r="H83" s="35">
        <f t="shared" si="2"/>
        <v>-8.9599789729366037</v>
      </c>
      <c r="AL83" s="3"/>
      <c r="AM83" s="3"/>
      <c r="AN83" s="3"/>
    </row>
    <row r="84" spans="3:40" x14ac:dyDescent="0.25">
      <c r="C84" s="27">
        <v>7.0511323838431006E-2</v>
      </c>
      <c r="D84" s="28">
        <v>0.11118978312747488</v>
      </c>
      <c r="E84" s="38">
        <v>0.10819022129071032</v>
      </c>
      <c r="F84" s="59">
        <v>-3.9212358238280801E-2</v>
      </c>
      <c r="G84" s="34">
        <f t="shared" si="1"/>
        <v>9.1543628754969451</v>
      </c>
      <c r="H84" s="35">
        <f t="shared" si="2"/>
        <v>-8.7200272168625901</v>
      </c>
      <c r="P84" s="21"/>
      <c r="Q84" s="21"/>
      <c r="R84" s="21"/>
      <c r="S84" s="21"/>
    </row>
    <row r="85" spans="3:40" x14ac:dyDescent="0.25">
      <c r="C85" s="27">
        <v>8.0084053233714661E-2</v>
      </c>
      <c r="D85" s="28">
        <v>4.7989929981905433E-2</v>
      </c>
      <c r="E85" s="38">
        <v>0.11405061064535515</v>
      </c>
      <c r="F85" s="59">
        <v>-5.3788679119140405E-2</v>
      </c>
      <c r="G85" s="34">
        <f t="shared" si="1"/>
        <v>10.960362209112343</v>
      </c>
      <c r="H85" s="35">
        <f t="shared" si="2"/>
        <v>-5.1626298894934539</v>
      </c>
      <c r="I85" s="21"/>
    </row>
    <row r="86" spans="3:40" x14ac:dyDescent="0.25">
      <c r="C86" s="27">
        <v>9.6077515759981302E-2</v>
      </c>
      <c r="D86" s="28">
        <v>2.150368447276637E-2</v>
      </c>
      <c r="E86" s="38">
        <v>0.12641880532267757</v>
      </c>
      <c r="F86" s="59">
        <v>-8.4127339559570191E-2</v>
      </c>
      <c r="G86" s="34">
        <f t="shared" si="1"/>
        <v>14.575205712897077</v>
      </c>
      <c r="H86" s="35">
        <f t="shared" si="2"/>
        <v>-3.6180955308445468</v>
      </c>
    </row>
    <row r="87" spans="3:40" x14ac:dyDescent="0.25">
      <c r="C87" s="29">
        <v>0.10705113238384309</v>
      </c>
      <c r="D87" s="30">
        <v>1.1171426323656676E-2</v>
      </c>
      <c r="E87" s="39">
        <v>0.13320790266133878</v>
      </c>
      <c r="F87" s="60">
        <v>-0.1029871697797851</v>
      </c>
      <c r="G87" s="36">
        <f t="shared" si="1"/>
        <v>17.112068186847676</v>
      </c>
      <c r="H87" s="37">
        <f t="shared" si="2"/>
        <v>-2.3010271589535813</v>
      </c>
    </row>
  </sheetData>
  <sortState xmlns:xlrd2="http://schemas.microsoft.com/office/spreadsheetml/2017/richdata2" ref="B3:AO51">
    <sortCondition ref="G3:G51"/>
  </sortState>
  <mergeCells count="19">
    <mergeCell ref="C74:D74"/>
    <mergeCell ref="E74:H74"/>
    <mergeCell ref="B71:F71"/>
    <mergeCell ref="B72:F72"/>
    <mergeCell ref="B66:F66"/>
    <mergeCell ref="B67:F67"/>
    <mergeCell ref="F54:H54"/>
    <mergeCell ref="F57:K57"/>
    <mergeCell ref="B69:F69"/>
    <mergeCell ref="B70:F70"/>
    <mergeCell ref="B59:F59"/>
    <mergeCell ref="B60:F60"/>
    <mergeCell ref="B61:F61"/>
    <mergeCell ref="B63:F63"/>
    <mergeCell ref="F55:H55"/>
    <mergeCell ref="F56:H56"/>
    <mergeCell ref="B64:F64"/>
    <mergeCell ref="B65:F65"/>
    <mergeCell ref="B62:F62"/>
  </mergeCells>
  <conditionalFormatting sqref="B3:F51 I3:AA51">
    <cfRule type="expression" dxfId="0" priority="35">
      <formula>$B3=$F$57</formula>
    </cfRule>
  </conditionalFormatting>
  <conditionalFormatting sqref="G3:G51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51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F57" xr:uid="{C4621466-AD2D-448E-979E-3665ECF080C4}">
      <formula1>$B$3:$B$51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8F6F-8C1C-4796-B22C-0F41AE3542A0}">
  <dimension ref="A1:E37"/>
  <sheetViews>
    <sheetView zoomScale="80" zoomScaleNormal="80" workbookViewId="0">
      <pane ySplit="1" topLeftCell="A2" activePane="bottomLeft" state="frozen"/>
      <selection pane="bottomLeft" activeCell="D17" sqref="D17"/>
    </sheetView>
  </sheetViews>
  <sheetFormatPr defaultRowHeight="13.2" x14ac:dyDescent="0.25"/>
  <cols>
    <col min="1" max="1" width="23.77734375" bestFit="1" customWidth="1"/>
    <col min="2" max="3" width="9.6640625" style="70" customWidth="1"/>
    <col min="4" max="4" width="17.109375" bestFit="1" customWidth="1"/>
    <col min="5" max="5" width="75.88671875" bestFit="1" customWidth="1"/>
  </cols>
  <sheetData>
    <row r="1" spans="1:5" x14ac:dyDescent="0.25">
      <c r="A1" s="66" t="s">
        <v>94</v>
      </c>
      <c r="B1" s="67" t="s">
        <v>165</v>
      </c>
      <c r="C1" s="67" t="s">
        <v>164</v>
      </c>
      <c r="D1" s="66" t="s">
        <v>95</v>
      </c>
      <c r="E1" s="66" t="s">
        <v>166</v>
      </c>
    </row>
    <row r="2" spans="1:5" x14ac:dyDescent="0.25">
      <c r="A2" s="65" t="s">
        <v>118</v>
      </c>
      <c r="B2" s="68">
        <v>130000</v>
      </c>
      <c r="C2" s="68"/>
      <c r="E2" t="s">
        <v>80</v>
      </c>
    </row>
    <row r="3" spans="1:5" x14ac:dyDescent="0.25">
      <c r="A3" s="65" t="s">
        <v>23</v>
      </c>
      <c r="B3" s="68">
        <v>30000</v>
      </c>
      <c r="C3" s="68">
        <v>720000</v>
      </c>
      <c r="D3" t="s">
        <v>69</v>
      </c>
      <c r="E3" s="65" t="s">
        <v>113</v>
      </c>
    </row>
    <row r="4" spans="1:5" x14ac:dyDescent="0.25">
      <c r="A4" s="65" t="s">
        <v>102</v>
      </c>
      <c r="B4" s="68"/>
      <c r="C4" s="68"/>
      <c r="E4" t="s">
        <v>78</v>
      </c>
    </row>
    <row r="5" spans="1:5" x14ac:dyDescent="0.25">
      <c r="A5" s="65" t="s">
        <v>167</v>
      </c>
      <c r="B5" s="69"/>
      <c r="C5" s="68">
        <v>13500</v>
      </c>
      <c r="D5" t="s">
        <v>121</v>
      </c>
      <c r="E5" s="65" t="s">
        <v>122</v>
      </c>
    </row>
    <row r="6" spans="1:5" x14ac:dyDescent="0.25">
      <c r="A6" s="65" t="s">
        <v>108</v>
      </c>
      <c r="B6" s="68"/>
      <c r="C6" s="68"/>
      <c r="E6" s="65" t="s">
        <v>74</v>
      </c>
    </row>
    <row r="7" spans="1:5" x14ac:dyDescent="0.25">
      <c r="A7" s="65" t="s">
        <v>16</v>
      </c>
      <c r="B7" s="68"/>
      <c r="C7" s="68">
        <v>200000</v>
      </c>
      <c r="D7" s="65" t="s">
        <v>19</v>
      </c>
      <c r="E7" s="65" t="s">
        <v>86</v>
      </c>
    </row>
    <row r="8" spans="1:5" x14ac:dyDescent="0.25">
      <c r="A8" s="65" t="s">
        <v>105</v>
      </c>
      <c r="B8" s="68"/>
      <c r="C8" s="68"/>
      <c r="D8" s="65" t="s">
        <v>97</v>
      </c>
      <c r="E8" s="65" t="s">
        <v>98</v>
      </c>
    </row>
    <row r="9" spans="1:5" x14ac:dyDescent="0.25">
      <c r="A9" s="65" t="s">
        <v>88</v>
      </c>
      <c r="B9" s="68">
        <v>30000</v>
      </c>
      <c r="C9" s="68">
        <v>1270000</v>
      </c>
      <c r="E9" s="65" t="s">
        <v>75</v>
      </c>
    </row>
    <row r="10" spans="1:5" x14ac:dyDescent="0.25">
      <c r="A10" s="65" t="s">
        <v>110</v>
      </c>
      <c r="B10" s="68"/>
      <c r="C10" s="68"/>
      <c r="E10" s="65" t="s">
        <v>117</v>
      </c>
    </row>
    <row r="11" spans="1:5" x14ac:dyDescent="0.25">
      <c r="A11" s="65" t="s">
        <v>22</v>
      </c>
      <c r="B11" s="68"/>
      <c r="C11" s="68">
        <v>14000</v>
      </c>
      <c r="E11" t="s">
        <v>71</v>
      </c>
    </row>
    <row r="12" spans="1:5" x14ac:dyDescent="0.25">
      <c r="A12" s="65" t="s">
        <v>17</v>
      </c>
      <c r="B12" s="68"/>
      <c r="C12" s="68">
        <v>600000</v>
      </c>
      <c r="D12" s="65" t="s">
        <v>18</v>
      </c>
      <c r="E12" s="65" t="s">
        <v>89</v>
      </c>
    </row>
    <row r="13" spans="1:5" x14ac:dyDescent="0.25">
      <c r="A13" s="65" t="s">
        <v>96</v>
      </c>
      <c r="B13" s="68"/>
      <c r="C13" s="68">
        <v>30000</v>
      </c>
      <c r="E13" s="65" t="s">
        <v>76</v>
      </c>
    </row>
    <row r="14" spans="1:5" x14ac:dyDescent="0.25">
      <c r="A14" s="65" t="s">
        <v>90</v>
      </c>
      <c r="B14" s="68"/>
      <c r="C14" s="68">
        <v>300000</v>
      </c>
      <c r="E14" s="65" t="s">
        <v>92</v>
      </c>
    </row>
    <row r="15" spans="1:5" x14ac:dyDescent="0.25">
      <c r="A15" s="65" t="s">
        <v>18</v>
      </c>
      <c r="B15" s="68"/>
      <c r="C15" s="68">
        <v>1500000</v>
      </c>
      <c r="D15" s="65"/>
      <c r="E15" s="65" t="s">
        <v>89</v>
      </c>
    </row>
    <row r="16" spans="1:5" x14ac:dyDescent="0.25">
      <c r="A16" s="65" t="s">
        <v>25</v>
      </c>
      <c r="B16" s="68">
        <v>30000</v>
      </c>
      <c r="C16" s="68">
        <v>40000</v>
      </c>
      <c r="E16" s="65" t="s">
        <v>82</v>
      </c>
    </row>
    <row r="17" spans="1:5" x14ac:dyDescent="0.25">
      <c r="A17" s="65" t="s">
        <v>5</v>
      </c>
      <c r="B17" s="68"/>
      <c r="C17" s="68">
        <v>120000</v>
      </c>
      <c r="D17" s="65" t="s">
        <v>85</v>
      </c>
      <c r="E17" s="65" t="s">
        <v>84</v>
      </c>
    </row>
    <row r="18" spans="1:5" x14ac:dyDescent="0.25">
      <c r="A18" s="65" t="s">
        <v>99</v>
      </c>
      <c r="B18" s="68"/>
      <c r="C18" s="68">
        <v>600000</v>
      </c>
      <c r="E18" s="65" t="s">
        <v>87</v>
      </c>
    </row>
    <row r="19" spans="1:5" x14ac:dyDescent="0.25">
      <c r="A19" s="65" t="s">
        <v>106</v>
      </c>
      <c r="B19" s="68"/>
      <c r="C19" s="68"/>
      <c r="D19" t="s">
        <v>83</v>
      </c>
      <c r="E19" t="s">
        <v>168</v>
      </c>
    </row>
    <row r="20" spans="1:5" x14ac:dyDescent="0.25">
      <c r="A20" s="65" t="s">
        <v>107</v>
      </c>
      <c r="B20" s="68"/>
      <c r="C20" s="68"/>
      <c r="E20" s="65" t="s">
        <v>112</v>
      </c>
    </row>
    <row r="21" spans="1:5" x14ac:dyDescent="0.25">
      <c r="A21" s="65" t="s">
        <v>103</v>
      </c>
      <c r="B21" s="68"/>
      <c r="C21" s="68"/>
      <c r="E21" s="65" t="s">
        <v>125</v>
      </c>
    </row>
    <row r="22" spans="1:5" x14ac:dyDescent="0.25">
      <c r="A22" s="65" t="s">
        <v>175</v>
      </c>
      <c r="B22" s="69"/>
      <c r="C22" s="68">
        <v>134000</v>
      </c>
      <c r="E22" t="s">
        <v>123</v>
      </c>
    </row>
    <row r="23" spans="1:5" x14ac:dyDescent="0.25">
      <c r="A23" s="65" t="s">
        <v>6</v>
      </c>
      <c r="B23" s="68"/>
      <c r="C23" s="68">
        <v>25000</v>
      </c>
      <c r="E23" s="65" t="s">
        <v>116</v>
      </c>
    </row>
    <row r="24" spans="1:5" x14ac:dyDescent="0.25">
      <c r="A24" s="65" t="s">
        <v>124</v>
      </c>
      <c r="B24" s="68">
        <v>50000</v>
      </c>
      <c r="C24" s="68">
        <v>30000</v>
      </c>
      <c r="E24" s="65" t="s">
        <v>93</v>
      </c>
    </row>
    <row r="25" spans="1:5" x14ac:dyDescent="0.25">
      <c r="A25" s="65" t="s">
        <v>97</v>
      </c>
      <c r="B25" s="68">
        <v>30000</v>
      </c>
      <c r="C25" s="68"/>
      <c r="E25" s="65" t="s">
        <v>98</v>
      </c>
    </row>
    <row r="26" spans="1:5" x14ac:dyDescent="0.25">
      <c r="A26" s="65" t="s">
        <v>100</v>
      </c>
      <c r="B26" s="68"/>
      <c r="C26" s="68">
        <v>250000</v>
      </c>
      <c r="D26" s="65" t="s">
        <v>88</v>
      </c>
      <c r="E26" s="65" t="s">
        <v>75</v>
      </c>
    </row>
    <row r="27" spans="1:5" x14ac:dyDescent="0.25">
      <c r="A27" s="65" t="s">
        <v>101</v>
      </c>
      <c r="B27" s="68"/>
      <c r="C27" s="68">
        <v>50000</v>
      </c>
      <c r="D27" s="65" t="s">
        <v>19</v>
      </c>
      <c r="E27" s="65" t="s">
        <v>86</v>
      </c>
    </row>
    <row r="28" spans="1:5" x14ac:dyDescent="0.25">
      <c r="A28" s="65" t="s">
        <v>7</v>
      </c>
      <c r="B28" s="68"/>
      <c r="C28" s="68">
        <v>80000</v>
      </c>
      <c r="D28" s="65" t="s">
        <v>73</v>
      </c>
      <c r="E28" t="s">
        <v>114</v>
      </c>
    </row>
    <row r="29" spans="1:5" x14ac:dyDescent="0.25">
      <c r="A29" s="65" t="s">
        <v>177</v>
      </c>
      <c r="B29" s="69"/>
      <c r="C29" s="69"/>
      <c r="E29" s="65" t="s">
        <v>81</v>
      </c>
    </row>
    <row r="30" spans="1:5" x14ac:dyDescent="0.25">
      <c r="A30" s="65" t="s">
        <v>104</v>
      </c>
      <c r="B30" s="68">
        <v>7000</v>
      </c>
      <c r="C30" s="68"/>
      <c r="E30" t="s">
        <v>79</v>
      </c>
    </row>
    <row r="31" spans="1:5" x14ac:dyDescent="0.25">
      <c r="A31" s="65" t="s">
        <v>120</v>
      </c>
      <c r="B31" s="68">
        <v>30000</v>
      </c>
      <c r="C31" s="68"/>
      <c r="E31" t="s">
        <v>72</v>
      </c>
    </row>
    <row r="32" spans="1:5" x14ac:dyDescent="0.25">
      <c r="A32" s="65" t="s">
        <v>8</v>
      </c>
      <c r="B32" s="68"/>
      <c r="C32" s="68"/>
      <c r="E32" s="65" t="s">
        <v>115</v>
      </c>
    </row>
    <row r="33" spans="1:5" x14ac:dyDescent="0.25">
      <c r="A33" s="65" t="s">
        <v>3</v>
      </c>
      <c r="B33" s="68"/>
      <c r="C33" s="68">
        <v>200000</v>
      </c>
      <c r="D33" s="65" t="s">
        <v>18</v>
      </c>
      <c r="E33" s="65" t="s">
        <v>89</v>
      </c>
    </row>
    <row r="34" spans="1:5" x14ac:dyDescent="0.25">
      <c r="A34" s="65" t="s">
        <v>19</v>
      </c>
      <c r="B34" s="68"/>
      <c r="C34" s="68">
        <v>1700000</v>
      </c>
      <c r="E34" s="65" t="s">
        <v>86</v>
      </c>
    </row>
    <row r="35" spans="1:5" x14ac:dyDescent="0.25">
      <c r="A35" s="65" t="s">
        <v>9</v>
      </c>
      <c r="B35" s="68"/>
      <c r="C35" s="68">
        <v>30000</v>
      </c>
      <c r="E35" s="65" t="s">
        <v>91</v>
      </c>
    </row>
    <row r="36" spans="1:5" x14ac:dyDescent="0.25">
      <c r="A36" s="65" t="s">
        <v>109</v>
      </c>
      <c r="B36" s="68">
        <v>2000</v>
      </c>
      <c r="C36" s="68"/>
      <c r="E36" t="s">
        <v>77</v>
      </c>
    </row>
    <row r="37" spans="1:5" x14ac:dyDescent="0.25">
      <c r="A37" s="65" t="s">
        <v>111</v>
      </c>
      <c r="B37" s="68">
        <v>30000</v>
      </c>
      <c r="C37" s="68">
        <v>105000</v>
      </c>
      <c r="E37" t="s">
        <v>70</v>
      </c>
    </row>
  </sheetData>
  <autoFilter ref="A1:E1" xr:uid="{81FA8F6F-8C1C-4796-B22C-0F41AE3542A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A2E3-BBD5-4327-A8C7-1D4689750C43}">
  <dimension ref="A1:A39"/>
  <sheetViews>
    <sheetView zoomScale="80" zoomScaleNormal="80" workbookViewId="0">
      <selection activeCell="G45" sqref="G45"/>
    </sheetView>
  </sheetViews>
  <sheetFormatPr defaultColWidth="8.88671875" defaultRowHeight="13.2" x14ac:dyDescent="0.25"/>
  <cols>
    <col min="1" max="16384" width="8.88671875" style="3"/>
  </cols>
  <sheetData>
    <row r="1" spans="1:1" x14ac:dyDescent="0.25">
      <c r="A1" s="9" t="s">
        <v>43</v>
      </c>
    </row>
    <row r="2" spans="1:1" x14ac:dyDescent="0.25">
      <c r="A2" s="3" t="s">
        <v>39</v>
      </c>
    </row>
    <row r="3" spans="1:1" x14ac:dyDescent="0.25">
      <c r="A3" s="9" t="s">
        <v>46</v>
      </c>
    </row>
    <row r="9" spans="1:1" x14ac:dyDescent="0.25">
      <c r="A9" s="9" t="s">
        <v>45</v>
      </c>
    </row>
    <row r="22" spans="1:1" x14ac:dyDescent="0.25">
      <c r="A22" s="9" t="s">
        <v>47</v>
      </c>
    </row>
    <row r="23" spans="1:1" x14ac:dyDescent="0.25">
      <c r="A23" s="9" t="s">
        <v>50</v>
      </c>
    </row>
    <row r="39" spans="1:1" x14ac:dyDescent="0.25">
      <c r="A39" s="3" t="s">
        <v>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9560-3967-4C06-A741-AD1FD4C6389D}">
  <dimension ref="A1:V144"/>
  <sheetViews>
    <sheetView zoomScale="80" zoomScaleNormal="80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O29" sqref="O29"/>
    </sheetView>
  </sheetViews>
  <sheetFormatPr defaultRowHeight="13.2" x14ac:dyDescent="0.25"/>
  <cols>
    <col min="1" max="1" width="5.88671875" style="1" bestFit="1" customWidth="1"/>
    <col min="2" max="2" width="7" style="1" bestFit="1" customWidth="1"/>
    <col min="3" max="3" width="8.6640625" style="1" bestFit="1" customWidth="1"/>
    <col min="4" max="4" width="8.6640625" style="1" customWidth="1"/>
    <col min="5" max="8" width="11.44140625" style="1" customWidth="1"/>
    <col min="9" max="21" width="11.44140625" customWidth="1"/>
    <col min="22" max="22" width="10.33203125" customWidth="1"/>
    <col min="23" max="24" width="17.6640625" bestFit="1" customWidth="1"/>
  </cols>
  <sheetData>
    <row r="1" spans="1:22" ht="27" customHeight="1" x14ac:dyDescent="0.25">
      <c r="A1" s="17" t="s">
        <v>2</v>
      </c>
      <c r="B1" s="17" t="s">
        <v>35</v>
      </c>
      <c r="C1" s="17" t="s">
        <v>198</v>
      </c>
      <c r="D1" s="17" t="s">
        <v>197</v>
      </c>
      <c r="E1" s="106" t="s">
        <v>23</v>
      </c>
      <c r="F1" s="106" t="s">
        <v>17</v>
      </c>
      <c r="G1" s="106" t="s">
        <v>18</v>
      </c>
      <c r="H1" s="106" t="s">
        <v>19</v>
      </c>
      <c r="I1" s="106" t="s">
        <v>5</v>
      </c>
      <c r="J1" s="106" t="s">
        <v>3</v>
      </c>
      <c r="K1" s="106" t="s">
        <v>9</v>
      </c>
      <c r="L1" s="107" t="s">
        <v>21</v>
      </c>
      <c r="M1" s="107" t="s">
        <v>177</v>
      </c>
      <c r="N1" s="107" t="s">
        <v>22</v>
      </c>
      <c r="O1" s="107" t="s">
        <v>8</v>
      </c>
      <c r="P1" s="107" t="s">
        <v>7</v>
      </c>
      <c r="Q1" s="107" t="s">
        <v>24</v>
      </c>
      <c r="R1" s="107" t="s">
        <v>6</v>
      </c>
      <c r="S1" s="107" t="s">
        <v>16</v>
      </c>
      <c r="T1" s="18"/>
      <c r="U1" s="18"/>
      <c r="V1" s="86" t="s">
        <v>186</v>
      </c>
    </row>
    <row r="2" spans="1:22" x14ac:dyDescent="0.25">
      <c r="A2" s="10"/>
      <c r="B2" s="10"/>
      <c r="C2" s="10"/>
      <c r="D2" s="10"/>
      <c r="E2" s="6" t="s">
        <v>10</v>
      </c>
      <c r="F2" s="6" t="s">
        <v>10</v>
      </c>
      <c r="G2" s="6" t="s">
        <v>10</v>
      </c>
      <c r="H2" s="6" t="s">
        <v>10</v>
      </c>
      <c r="I2" s="6" t="s">
        <v>10</v>
      </c>
      <c r="J2" s="6" t="s">
        <v>10</v>
      </c>
      <c r="K2" s="6" t="s">
        <v>10</v>
      </c>
      <c r="L2" s="6" t="s">
        <v>10</v>
      </c>
      <c r="M2" s="6" t="s">
        <v>10</v>
      </c>
      <c r="N2" s="6" t="s">
        <v>10</v>
      </c>
      <c r="O2" s="6" t="s">
        <v>10</v>
      </c>
      <c r="P2" s="6" t="s">
        <v>10</v>
      </c>
      <c r="Q2" s="6" t="s">
        <v>10</v>
      </c>
      <c r="R2" s="6" t="s">
        <v>10</v>
      </c>
      <c r="S2" s="6" t="s">
        <v>10</v>
      </c>
      <c r="T2" s="6" t="s">
        <v>10</v>
      </c>
      <c r="U2" s="6" t="s">
        <v>10</v>
      </c>
      <c r="V2" s="86" t="s">
        <v>187</v>
      </c>
    </row>
    <row r="3" spans="1:22" x14ac:dyDescent="0.25">
      <c r="A3" s="10">
        <v>0</v>
      </c>
      <c r="B3" s="10">
        <v>5</v>
      </c>
      <c r="C3" s="10" t="str">
        <f>IF(AND(Rekentool!$F$56&gt;=A3,Rekentool!$F$56&lt;B3),"Ja","Nee")</f>
        <v>Nee</v>
      </c>
      <c r="D3" s="10" t="str">
        <f>IF(Rekentool!$F$55&lt;=Rekentool!$F$56,IF(AND(Rekentool!$F$55&gt;=A3,Rekentool!$F$55&lt;B3),"Ja","Nee"),IF(AND(Rekentool!$F$56&gt;=A3,Rekentool!$F$56&lt;B3),"Ja","Nee"))</f>
        <v>Nee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/>
      <c r="U3" s="11"/>
      <c r="V3" s="87" t="s">
        <v>188</v>
      </c>
    </row>
    <row r="4" spans="1:22" x14ac:dyDescent="0.25">
      <c r="A4" s="10">
        <v>5</v>
      </c>
      <c r="B4" s="10">
        <v>50</v>
      </c>
      <c r="C4" s="10" t="str">
        <f>IF(AND(Rekentool!$F$56&gt;=A4,Rekentool!$F$56&lt;B4),"Ja","Nee")</f>
        <v>Nee</v>
      </c>
      <c r="D4" s="10" t="str">
        <f>IF(Rekentool!$F$55&lt;=Rekentool!$F$56,IF(AND(Rekentool!$F$55&gt;=A4,Rekentool!$F$55&lt;B4),"Ja","Nee"),IF(AND(Rekentool!$F$56&gt;=A4,Rekentool!$F$56&lt;B4),"Ja","Nee"))</f>
        <v>Nee</v>
      </c>
      <c r="E4" s="11">
        <v>36</v>
      </c>
      <c r="F4" s="11">
        <v>0</v>
      </c>
      <c r="G4" s="11">
        <v>0</v>
      </c>
      <c r="H4" s="11">
        <v>0</v>
      </c>
      <c r="I4" s="11">
        <v>40.15</v>
      </c>
      <c r="J4" s="11">
        <f>1.25*12</f>
        <v>15</v>
      </c>
      <c r="K4" s="11">
        <v>0</v>
      </c>
      <c r="L4" s="11">
        <v>40.147799999999997</v>
      </c>
      <c r="M4" s="11">
        <v>0</v>
      </c>
      <c r="N4" s="11">
        <v>0</v>
      </c>
      <c r="O4" s="11">
        <v>0</v>
      </c>
      <c r="P4" s="11">
        <v>29.4</v>
      </c>
      <c r="Q4" s="11">
        <v>0</v>
      </c>
      <c r="R4" s="11">
        <v>75.72</v>
      </c>
      <c r="S4" s="11">
        <v>0</v>
      </c>
      <c r="T4" s="11"/>
      <c r="U4" s="11"/>
      <c r="V4" s="2"/>
    </row>
    <row r="5" spans="1:22" x14ac:dyDescent="0.25">
      <c r="A5" s="10">
        <v>50</v>
      </c>
      <c r="B5" s="10">
        <v>100</v>
      </c>
      <c r="C5" s="10" t="str">
        <f>IF(AND(Rekentool!$F$56&gt;=A5,Rekentool!$F$56&lt;B5),"Ja","Nee")</f>
        <v>Nee</v>
      </c>
      <c r="D5" s="10" t="str">
        <f>IF(Rekentool!$F$55&lt;=Rekentool!$F$56,IF(AND(Rekentool!$F$55&gt;=A5,Rekentool!$F$55&lt;B5),"Ja","Nee"),IF(AND(Rekentool!$F$56&gt;=A5,Rekentool!$F$56&lt;B5),"Ja","Nee"))</f>
        <v>Nee</v>
      </c>
      <c r="E5" s="11">
        <v>36</v>
      </c>
      <c r="F5" s="11">
        <v>0</v>
      </c>
      <c r="G5" s="11">
        <v>0</v>
      </c>
      <c r="H5" s="11">
        <v>0</v>
      </c>
      <c r="I5" s="11">
        <v>40.15</v>
      </c>
      <c r="J5" s="11">
        <f>1.25*12</f>
        <v>15</v>
      </c>
      <c r="K5" s="11">
        <v>0</v>
      </c>
      <c r="L5" s="11">
        <v>40.147799999999997</v>
      </c>
      <c r="M5" s="11">
        <v>0</v>
      </c>
      <c r="N5" s="11">
        <v>0</v>
      </c>
      <c r="O5" s="11">
        <v>36.81</v>
      </c>
      <c r="P5" s="11">
        <v>29.4</v>
      </c>
      <c r="Q5" s="11">
        <v>0</v>
      </c>
      <c r="R5" s="11">
        <v>75.72</v>
      </c>
      <c r="S5" s="11">
        <v>0</v>
      </c>
      <c r="T5" s="11"/>
      <c r="U5" s="11"/>
      <c r="V5" s="2"/>
    </row>
    <row r="6" spans="1:22" x14ac:dyDescent="0.25">
      <c r="A6" s="10">
        <v>100</v>
      </c>
      <c r="B6" s="10">
        <v>200</v>
      </c>
      <c r="C6" s="10" t="str">
        <f>IF(AND(Rekentool!$F$56&gt;=A6,Rekentool!$F$56&lt;B6),"Ja","Nee")</f>
        <v>Nee</v>
      </c>
      <c r="D6" s="10" t="str">
        <f>IF(Rekentool!$F$55&lt;=Rekentool!$F$56,IF(AND(Rekentool!$F$55&gt;=A6,Rekentool!$F$55&lt;B6),"Ja","Nee"),IF(AND(Rekentool!$F$56&gt;=A6,Rekentool!$F$56&lt;B6),"Ja","Nee"))</f>
        <v>Nee</v>
      </c>
      <c r="E6" s="11">
        <v>36</v>
      </c>
      <c r="F6" s="11">
        <v>0</v>
      </c>
      <c r="G6" s="11">
        <v>0</v>
      </c>
      <c r="H6" s="11">
        <v>0</v>
      </c>
      <c r="I6" s="11">
        <v>40.15</v>
      </c>
      <c r="J6" s="11">
        <f>1.25*12</f>
        <v>15</v>
      </c>
      <c r="K6" s="11">
        <v>48</v>
      </c>
      <c r="L6" s="11">
        <v>40.147799999999997</v>
      </c>
      <c r="M6" s="11">
        <v>0</v>
      </c>
      <c r="N6" s="11">
        <v>0</v>
      </c>
      <c r="O6" s="11">
        <v>36.81</v>
      </c>
      <c r="P6" s="11">
        <v>29.4</v>
      </c>
      <c r="Q6" s="11">
        <v>0</v>
      </c>
      <c r="R6" s="11">
        <v>75.72</v>
      </c>
      <c r="S6" s="11">
        <v>19.399999999999999</v>
      </c>
      <c r="T6" s="11"/>
      <c r="U6" s="11"/>
      <c r="V6" s="2"/>
    </row>
    <row r="7" spans="1:22" x14ac:dyDescent="0.25">
      <c r="A7" s="10">
        <v>200</v>
      </c>
      <c r="B7" s="10">
        <v>250</v>
      </c>
      <c r="C7" s="10" t="str">
        <f>IF(AND(Rekentool!$F$56&gt;=A7,Rekentool!$F$56&lt;B7),"Ja","Nee")</f>
        <v>Nee</v>
      </c>
      <c r="D7" s="10" t="str">
        <f>IF(Rekentool!$F$55&lt;=Rekentool!$F$56,IF(AND(Rekentool!$F$55&gt;=A7,Rekentool!$F$55&lt;B7),"Ja","Nee"),IF(AND(Rekentool!$F$56&gt;=A7,Rekentool!$F$56&lt;B7),"Ja","Nee"))</f>
        <v>Nee</v>
      </c>
      <c r="E7" s="11">
        <v>36</v>
      </c>
      <c r="F7" s="11">
        <v>0</v>
      </c>
      <c r="G7" s="11">
        <v>0</v>
      </c>
      <c r="H7" s="11">
        <v>0</v>
      </c>
      <c r="I7" s="11">
        <v>40.15</v>
      </c>
      <c r="J7" s="11">
        <f>1.25*12</f>
        <v>15</v>
      </c>
      <c r="K7" s="11">
        <v>48</v>
      </c>
      <c r="L7" s="11">
        <v>40.147799999999997</v>
      </c>
      <c r="M7" s="11">
        <v>0</v>
      </c>
      <c r="N7" s="11">
        <v>0</v>
      </c>
      <c r="O7" s="11">
        <v>36.81</v>
      </c>
      <c r="P7" s="11">
        <v>29.4</v>
      </c>
      <c r="Q7" s="11">
        <v>0</v>
      </c>
      <c r="R7" s="11">
        <v>75.72</v>
      </c>
      <c r="S7" s="11">
        <v>32.4</v>
      </c>
      <c r="T7" s="11"/>
      <c r="U7" s="11"/>
    </row>
    <row r="8" spans="1:22" x14ac:dyDescent="0.25">
      <c r="A8" s="10">
        <v>250</v>
      </c>
      <c r="B8" s="10">
        <v>300</v>
      </c>
      <c r="C8" s="10" t="str">
        <f>IF(AND(Rekentool!$F$56&gt;=A8,Rekentool!$F$56&lt;B8),"Ja","Nee")</f>
        <v>Nee</v>
      </c>
      <c r="D8" s="10" t="str">
        <f>IF(Rekentool!$F$55&lt;=Rekentool!$F$56,IF(AND(Rekentool!$F$55&gt;=A8,Rekentool!$F$55&lt;B8),"Ja","Nee"),IF(AND(Rekentool!$F$56&gt;=A8,Rekentool!$F$56&lt;B8),"Ja","Nee"))</f>
        <v>Nee</v>
      </c>
      <c r="E8" s="11">
        <v>36</v>
      </c>
      <c r="F8" s="11">
        <f>4.07*12</f>
        <v>48.84</v>
      </c>
      <c r="G8" s="11">
        <v>48.84</v>
      </c>
      <c r="H8" s="11">
        <v>0</v>
      </c>
      <c r="I8" s="11">
        <v>40.15</v>
      </c>
      <c r="J8" s="11">
        <f>3.75*12</f>
        <v>45</v>
      </c>
      <c r="K8" s="11">
        <v>48</v>
      </c>
      <c r="L8" s="11">
        <v>40.147799999999997</v>
      </c>
      <c r="M8" s="11">
        <v>0</v>
      </c>
      <c r="N8" s="11">
        <v>0</v>
      </c>
      <c r="O8" s="11">
        <v>36.81</v>
      </c>
      <c r="P8" s="11">
        <v>85.2</v>
      </c>
      <c r="Q8" s="11">
        <v>0</v>
      </c>
      <c r="R8" s="11">
        <v>75.72</v>
      </c>
      <c r="S8" s="11">
        <v>32.4</v>
      </c>
      <c r="T8" s="11"/>
      <c r="U8" s="11"/>
    </row>
    <row r="9" spans="1:22" x14ac:dyDescent="0.25">
      <c r="A9" s="10">
        <v>300</v>
      </c>
      <c r="B9" s="10">
        <v>400</v>
      </c>
      <c r="C9" s="10" t="str">
        <f>IF(AND(Rekentool!$F$56&gt;=A9,Rekentool!$F$56&lt;B9),"Ja","Nee")</f>
        <v>Nee</v>
      </c>
      <c r="D9" s="10" t="str">
        <f>IF(Rekentool!$F$55&lt;=Rekentool!$F$56,IF(AND(Rekentool!$F$55&gt;=A9,Rekentool!$F$55&lt;B9),"Ja","Nee"),IF(AND(Rekentool!$F$56&gt;=A9,Rekentool!$F$56&lt;B9),"Ja","Nee"))</f>
        <v>Nee</v>
      </c>
      <c r="E9" s="11">
        <v>36</v>
      </c>
      <c r="F9" s="11">
        <v>48.84</v>
      </c>
      <c r="G9" s="11">
        <v>48.84</v>
      </c>
      <c r="H9" s="11">
        <v>0</v>
      </c>
      <c r="I9" s="11">
        <v>40.15</v>
      </c>
      <c r="J9" s="11">
        <f t="shared" ref="J9:J10" si="0">3.75*12</f>
        <v>45</v>
      </c>
      <c r="K9" s="11">
        <v>48</v>
      </c>
      <c r="L9" s="11">
        <v>40.147799999999997</v>
      </c>
      <c r="M9" s="11">
        <v>0</v>
      </c>
      <c r="N9" s="11">
        <v>0</v>
      </c>
      <c r="O9" s="11">
        <v>36.81</v>
      </c>
      <c r="P9" s="11">
        <v>85.2</v>
      </c>
      <c r="Q9" s="11">
        <v>0</v>
      </c>
      <c r="R9" s="11">
        <v>75.72</v>
      </c>
      <c r="S9" s="11">
        <v>45.3</v>
      </c>
      <c r="T9" s="11"/>
      <c r="U9" s="11"/>
    </row>
    <row r="10" spans="1:22" x14ac:dyDescent="0.25">
      <c r="A10" s="10">
        <v>400</v>
      </c>
      <c r="B10" s="10">
        <v>500</v>
      </c>
      <c r="C10" s="10" t="str">
        <f>IF(AND(Rekentool!$F$56&gt;=A10,Rekentool!$F$56&lt;B10),"Ja","Nee")</f>
        <v>Nee</v>
      </c>
      <c r="D10" s="10" t="str">
        <f>IF(Rekentool!$F$55&lt;=Rekentool!$F$56,IF(AND(Rekentool!$F$55&gt;=A10,Rekentool!$F$55&lt;B10),"Ja","Nee"),IF(AND(Rekentool!$F$56&gt;=A10,Rekentool!$F$56&lt;B10),"Ja","Nee"))</f>
        <v>Nee</v>
      </c>
      <c r="E10" s="11">
        <v>36</v>
      </c>
      <c r="F10" s="11">
        <v>48.84</v>
      </c>
      <c r="G10" s="11">
        <v>48.84</v>
      </c>
      <c r="H10" s="11">
        <v>0</v>
      </c>
      <c r="I10" s="11">
        <v>40.15</v>
      </c>
      <c r="J10" s="11">
        <f t="shared" si="0"/>
        <v>45</v>
      </c>
      <c r="K10" s="11">
        <v>48</v>
      </c>
      <c r="L10" s="11">
        <v>40.147799999999997</v>
      </c>
      <c r="M10" s="11">
        <v>0</v>
      </c>
      <c r="N10" s="11">
        <v>0</v>
      </c>
      <c r="O10" s="11">
        <v>36.81</v>
      </c>
      <c r="P10" s="11">
        <v>85.2</v>
      </c>
      <c r="Q10" s="11">
        <v>0</v>
      </c>
      <c r="R10" s="11">
        <v>75.72</v>
      </c>
      <c r="S10" s="11">
        <v>58.2</v>
      </c>
      <c r="T10" s="11"/>
      <c r="U10" s="11"/>
    </row>
    <row r="11" spans="1:22" x14ac:dyDescent="0.25">
      <c r="A11" s="10">
        <v>500</v>
      </c>
      <c r="B11" s="10">
        <v>600</v>
      </c>
      <c r="C11" s="10" t="str">
        <f>IF(AND(Rekentool!$F$56&gt;=A11,Rekentool!$F$56&lt;B11),"Ja","Nee")</f>
        <v>Nee</v>
      </c>
      <c r="D11" s="10" t="str">
        <f>IF(Rekentool!$F$55&lt;=Rekentool!$F$56,IF(AND(Rekentool!$F$55&gt;=A11,Rekentool!$F$55&lt;B11),"Ja","Nee"),IF(AND(Rekentool!$F$56&gt;=A11,Rekentool!$F$56&lt;B11),"Ja","Nee"))</f>
        <v>Nee</v>
      </c>
      <c r="E11" s="11">
        <v>90</v>
      </c>
      <c r="F11" s="11">
        <v>81.36</v>
      </c>
      <c r="G11" s="11">
        <v>81.36</v>
      </c>
      <c r="H11" s="11">
        <v>84</v>
      </c>
      <c r="I11" s="11">
        <v>40.15</v>
      </c>
      <c r="J11" s="11">
        <f>6.26*12</f>
        <v>75.12</v>
      </c>
      <c r="K11" s="11">
        <v>48</v>
      </c>
      <c r="L11" s="11">
        <v>40.147799999999997</v>
      </c>
      <c r="M11" s="11">
        <v>0</v>
      </c>
      <c r="N11" s="11">
        <v>0</v>
      </c>
      <c r="O11" s="11">
        <v>92.01</v>
      </c>
      <c r="P11" s="11">
        <v>142.19999999999999</v>
      </c>
      <c r="Q11" s="11">
        <v>0</v>
      </c>
      <c r="R11" s="11">
        <v>75.72</v>
      </c>
      <c r="S11" s="11">
        <v>71.2</v>
      </c>
      <c r="T11" s="11"/>
      <c r="U11" s="11"/>
    </row>
    <row r="12" spans="1:22" x14ac:dyDescent="0.25">
      <c r="A12" s="10">
        <v>600</v>
      </c>
      <c r="B12" s="10">
        <v>700</v>
      </c>
      <c r="C12" s="10" t="str">
        <f>IF(AND(Rekentool!$F$56&gt;=A12,Rekentool!$F$56&lt;B12),"Ja","Nee")</f>
        <v>Nee</v>
      </c>
      <c r="D12" s="10" t="str">
        <f>IF(Rekentool!$F$55&lt;=Rekentool!$F$56,IF(AND(Rekentool!$F$55&gt;=A12,Rekentool!$F$55&lt;B12),"Ja","Nee"),IF(AND(Rekentool!$F$56&gt;=A12,Rekentool!$F$56&lt;B12),"Ja","Nee"))</f>
        <v>Nee</v>
      </c>
      <c r="E12" s="11">
        <v>90</v>
      </c>
      <c r="F12" s="11">
        <v>81.36</v>
      </c>
      <c r="G12" s="11">
        <v>81.36</v>
      </c>
      <c r="H12" s="11">
        <v>84</v>
      </c>
      <c r="I12" s="11">
        <v>40.15</v>
      </c>
      <c r="J12" s="11">
        <f t="shared" ref="J12:J13" si="1">6.26*12</f>
        <v>75.12</v>
      </c>
      <c r="K12" s="11">
        <v>48</v>
      </c>
      <c r="L12" s="11">
        <v>40.147799999999997</v>
      </c>
      <c r="M12" s="11">
        <v>0</v>
      </c>
      <c r="N12" s="11">
        <v>0</v>
      </c>
      <c r="O12" s="11">
        <v>92.01</v>
      </c>
      <c r="P12" s="11">
        <v>142.19999999999999</v>
      </c>
      <c r="Q12" s="11">
        <v>0</v>
      </c>
      <c r="R12" s="11">
        <v>75.72</v>
      </c>
      <c r="S12" s="11">
        <v>84.1</v>
      </c>
      <c r="T12" s="11"/>
      <c r="U12" s="11"/>
    </row>
    <row r="13" spans="1:22" x14ac:dyDescent="0.25">
      <c r="A13" s="10">
        <v>700</v>
      </c>
      <c r="B13" s="10">
        <v>750</v>
      </c>
      <c r="C13" s="10" t="str">
        <f>IF(AND(Rekentool!$F$56&gt;=A13,Rekentool!$F$56&lt;B13),"Ja","Nee")</f>
        <v>Nee</v>
      </c>
      <c r="D13" s="10" t="str">
        <f>IF(Rekentool!$F$55&lt;=Rekentool!$F$56,IF(AND(Rekentool!$F$55&gt;=A13,Rekentool!$F$55&lt;B13),"Ja","Nee"),IF(AND(Rekentool!$F$56&gt;=A13,Rekentool!$F$56&lt;B13),"Ja","Nee"))</f>
        <v>Nee</v>
      </c>
      <c r="E13" s="11">
        <v>90</v>
      </c>
      <c r="F13" s="11">
        <v>81.36</v>
      </c>
      <c r="G13" s="11">
        <v>81.36</v>
      </c>
      <c r="H13" s="11">
        <v>84</v>
      </c>
      <c r="I13" s="11">
        <v>40.15</v>
      </c>
      <c r="J13" s="11">
        <f t="shared" si="1"/>
        <v>75.12</v>
      </c>
      <c r="K13" s="11">
        <v>48</v>
      </c>
      <c r="L13" s="11">
        <v>40.147799999999997</v>
      </c>
      <c r="M13" s="11">
        <v>0</v>
      </c>
      <c r="N13" s="11">
        <v>0</v>
      </c>
      <c r="O13" s="11">
        <v>92.01</v>
      </c>
      <c r="P13" s="11">
        <v>142.19999999999999</v>
      </c>
      <c r="Q13" s="11">
        <v>0</v>
      </c>
      <c r="R13" s="11">
        <v>75.72</v>
      </c>
      <c r="S13" s="11">
        <v>97.1</v>
      </c>
      <c r="T13" s="11"/>
      <c r="U13" s="11"/>
    </row>
    <row r="14" spans="1:22" x14ac:dyDescent="0.25">
      <c r="A14" s="10">
        <v>750</v>
      </c>
      <c r="B14" s="10">
        <v>800</v>
      </c>
      <c r="C14" s="10" t="str">
        <f>IF(AND(Rekentool!$F$56&gt;=A14,Rekentool!$F$56&lt;B14),"Ja","Nee")</f>
        <v>Nee</v>
      </c>
      <c r="D14" s="10" t="str">
        <f>IF(Rekentool!$F$55&lt;=Rekentool!$F$56,IF(AND(Rekentool!$F$55&gt;=A14,Rekentool!$F$55&lt;B14),"Ja","Nee"),IF(AND(Rekentool!$F$56&gt;=A14,Rekentool!$F$56&lt;B14),"Ja","Nee"))</f>
        <v>Nee</v>
      </c>
      <c r="E14" s="11">
        <v>90</v>
      </c>
      <c r="F14" s="11">
        <v>113.64000000000001</v>
      </c>
      <c r="G14" s="11">
        <v>113.64000000000001</v>
      </c>
      <c r="H14" s="11">
        <v>121</v>
      </c>
      <c r="I14" s="11">
        <v>40.15</v>
      </c>
      <c r="J14" s="11">
        <f>8.75*12</f>
        <v>105</v>
      </c>
      <c r="K14" s="11">
        <v>48</v>
      </c>
      <c r="L14" s="11">
        <v>40.147799999999997</v>
      </c>
      <c r="M14" s="11">
        <v>0</v>
      </c>
      <c r="N14" s="11">
        <v>0</v>
      </c>
      <c r="O14" s="11">
        <v>92.01</v>
      </c>
      <c r="P14" s="11">
        <v>182.4</v>
      </c>
      <c r="Q14" s="11">
        <v>0</v>
      </c>
      <c r="R14" s="11">
        <v>75.72</v>
      </c>
      <c r="S14" s="11">
        <v>97.1</v>
      </c>
      <c r="T14" s="11"/>
      <c r="U14" s="11"/>
    </row>
    <row r="15" spans="1:22" x14ac:dyDescent="0.25">
      <c r="A15" s="10">
        <v>800</v>
      </c>
      <c r="B15" s="10">
        <v>900</v>
      </c>
      <c r="C15" s="10" t="str">
        <f>IF(AND(Rekentool!$F$56&gt;=A15,Rekentool!$F$56&lt;B15),"Ja","Nee")</f>
        <v>Nee</v>
      </c>
      <c r="D15" s="10" t="str">
        <f>IF(Rekentool!$F$55&lt;=Rekentool!$F$56,IF(AND(Rekentool!$F$55&gt;=A15,Rekentool!$F$55&lt;B15),"Ja","Nee"),IF(AND(Rekentool!$F$56&gt;=A15,Rekentool!$F$56&lt;B15),"Ja","Nee"))</f>
        <v>Nee</v>
      </c>
      <c r="E15" s="11">
        <v>90</v>
      </c>
      <c r="F15" s="11">
        <v>113.64000000000001</v>
      </c>
      <c r="G15" s="11">
        <v>113.64000000000001</v>
      </c>
      <c r="H15" s="11">
        <v>121</v>
      </c>
      <c r="I15" s="11">
        <v>40.15</v>
      </c>
      <c r="J15" s="11">
        <f t="shared" ref="J15:J16" si="2">8.75*12</f>
        <v>105</v>
      </c>
      <c r="K15" s="11">
        <v>48</v>
      </c>
      <c r="L15" s="11">
        <v>40.147799999999997</v>
      </c>
      <c r="M15" s="11">
        <v>0</v>
      </c>
      <c r="N15" s="11">
        <v>0</v>
      </c>
      <c r="O15" s="11">
        <v>92.01</v>
      </c>
      <c r="P15" s="11">
        <v>182.4</v>
      </c>
      <c r="Q15" s="11">
        <v>0</v>
      </c>
      <c r="R15" s="11">
        <v>75.72</v>
      </c>
      <c r="S15" s="11">
        <v>110</v>
      </c>
      <c r="T15" s="11"/>
      <c r="U15" s="11"/>
    </row>
    <row r="16" spans="1:22" x14ac:dyDescent="0.25">
      <c r="A16" s="10">
        <v>900</v>
      </c>
      <c r="B16" s="10">
        <v>1000</v>
      </c>
      <c r="C16" s="10" t="str">
        <f>IF(AND(Rekentool!$F$56&gt;=A16,Rekentool!$F$56&lt;B16),"Ja","Nee")</f>
        <v>Nee</v>
      </c>
      <c r="D16" s="10" t="str">
        <f>IF(Rekentool!$F$55&lt;=Rekentool!$F$56,IF(AND(Rekentool!$F$55&gt;=A16,Rekentool!$F$55&lt;B16),"Ja","Nee"),IF(AND(Rekentool!$F$56&gt;=A16,Rekentool!$F$56&lt;B16),"Ja","Nee"))</f>
        <v>Nee</v>
      </c>
      <c r="E16" s="11">
        <v>90</v>
      </c>
      <c r="F16" s="11">
        <v>113.64000000000001</v>
      </c>
      <c r="G16" s="11">
        <v>113.64000000000001</v>
      </c>
      <c r="H16" s="11">
        <v>121</v>
      </c>
      <c r="I16" s="11">
        <v>40.15</v>
      </c>
      <c r="J16" s="11">
        <f t="shared" si="2"/>
        <v>105</v>
      </c>
      <c r="K16" s="11">
        <v>48</v>
      </c>
      <c r="L16" s="11">
        <v>40.147799999999997</v>
      </c>
      <c r="M16" s="11">
        <v>0</v>
      </c>
      <c r="N16" s="11">
        <v>0</v>
      </c>
      <c r="O16" s="11">
        <v>92.01</v>
      </c>
      <c r="P16" s="11">
        <v>182.4</v>
      </c>
      <c r="Q16" s="11">
        <v>0</v>
      </c>
      <c r="R16" s="11">
        <v>75.72</v>
      </c>
      <c r="S16" s="11">
        <v>123</v>
      </c>
      <c r="T16" s="11"/>
      <c r="U16" s="11"/>
    </row>
    <row r="17" spans="1:21" x14ac:dyDescent="0.25">
      <c r="A17" s="10">
        <v>1000</v>
      </c>
      <c r="B17" s="10">
        <v>1100</v>
      </c>
      <c r="C17" s="10" t="str">
        <f>IF(AND(Rekentool!$F$56&gt;=A17,Rekentool!$F$56&lt;B17),"Ja","Nee")</f>
        <v>Nee</v>
      </c>
      <c r="D17" s="10" t="str">
        <f>IF(Rekentool!$F$55&lt;=Rekentool!$F$56,IF(AND(Rekentool!$F$55&gt;=A17,Rekentool!$F$55&lt;B17),"Ja","Nee"),IF(AND(Rekentool!$F$56&gt;=A17,Rekentool!$F$56&lt;B17),"Ja","Nee"))</f>
        <v>Nee</v>
      </c>
      <c r="E17" s="11">
        <v>162</v>
      </c>
      <c r="F17" s="11">
        <v>146.16</v>
      </c>
      <c r="G17" s="11">
        <v>146.16</v>
      </c>
      <c r="H17" s="11">
        <v>163</v>
      </c>
      <c r="I17" s="11">
        <v>124.1</v>
      </c>
      <c r="J17" s="11">
        <f>11.25*12</f>
        <v>135</v>
      </c>
      <c r="K17" s="11">
        <f>12.5*12</f>
        <v>150</v>
      </c>
      <c r="L17" s="11">
        <v>124.0976</v>
      </c>
      <c r="M17" s="11">
        <v>151.19999999999999</v>
      </c>
      <c r="N17" s="11">
        <v>166.32</v>
      </c>
      <c r="O17" s="11">
        <v>149.52000000000001</v>
      </c>
      <c r="P17" s="11">
        <v>200.4</v>
      </c>
      <c r="Q17" s="11">
        <v>110</v>
      </c>
      <c r="R17" s="11">
        <v>230.88</v>
      </c>
      <c r="S17" s="11">
        <v>135.9</v>
      </c>
      <c r="T17" s="11"/>
      <c r="U17" s="11"/>
    </row>
    <row r="18" spans="1:21" x14ac:dyDescent="0.25">
      <c r="A18" s="10">
        <v>1100</v>
      </c>
      <c r="B18" s="10">
        <v>1200</v>
      </c>
      <c r="C18" s="10" t="str">
        <f>IF(AND(Rekentool!$F$56&gt;=A18,Rekentool!$F$56&lt;B18),"Ja","Nee")</f>
        <v>Nee</v>
      </c>
      <c r="D18" s="10" t="str">
        <f>IF(Rekentool!$F$55&lt;=Rekentool!$F$56,IF(AND(Rekentool!$F$55&gt;=A18,Rekentool!$F$55&lt;B18),"Ja","Nee"),IF(AND(Rekentool!$F$56&gt;=A18,Rekentool!$F$56&lt;B18),"Ja","Nee"))</f>
        <v>Nee</v>
      </c>
      <c r="E18" s="11">
        <v>162</v>
      </c>
      <c r="F18" s="11">
        <v>146.16</v>
      </c>
      <c r="G18" s="11">
        <v>146.16</v>
      </c>
      <c r="H18" s="11">
        <v>163</v>
      </c>
      <c r="I18" s="11">
        <v>124.1</v>
      </c>
      <c r="J18" s="11">
        <f t="shared" ref="J18:J19" si="3">11.25*12</f>
        <v>135</v>
      </c>
      <c r="K18" s="11">
        <f t="shared" ref="K18:K28" si="4">12.5*12</f>
        <v>150</v>
      </c>
      <c r="L18" s="11">
        <v>124.0976</v>
      </c>
      <c r="M18" s="11">
        <v>151.19999999999999</v>
      </c>
      <c r="N18" s="11">
        <v>166.32</v>
      </c>
      <c r="O18" s="11">
        <v>149.52000000000001</v>
      </c>
      <c r="P18" s="11">
        <v>200.4</v>
      </c>
      <c r="Q18" s="11">
        <v>120</v>
      </c>
      <c r="R18" s="11">
        <v>230.88</v>
      </c>
      <c r="S18" s="11">
        <v>148.9</v>
      </c>
      <c r="T18" s="11"/>
      <c r="U18" s="11"/>
    </row>
    <row r="19" spans="1:21" x14ac:dyDescent="0.25">
      <c r="A19" s="10">
        <v>1200</v>
      </c>
      <c r="B19" s="10">
        <v>1250</v>
      </c>
      <c r="C19" s="10" t="str">
        <f>IF(AND(Rekentool!$F$56&gt;=A19,Rekentool!$F$56&lt;B19),"Ja","Nee")</f>
        <v>Nee</v>
      </c>
      <c r="D19" s="10" t="str">
        <f>IF(Rekentool!$F$55&lt;=Rekentool!$F$56,IF(AND(Rekentool!$F$55&gt;=A19,Rekentool!$F$55&lt;B19),"Ja","Nee"),IF(AND(Rekentool!$F$56&gt;=A19,Rekentool!$F$56&lt;B19),"Ja","Nee"))</f>
        <v>Ja</v>
      </c>
      <c r="E19" s="11">
        <v>162</v>
      </c>
      <c r="F19" s="11">
        <v>146.16</v>
      </c>
      <c r="G19" s="11">
        <v>146.16</v>
      </c>
      <c r="H19" s="11">
        <v>163</v>
      </c>
      <c r="I19" s="11">
        <v>124.1</v>
      </c>
      <c r="J19" s="11">
        <f t="shared" si="3"/>
        <v>135</v>
      </c>
      <c r="K19" s="11">
        <f t="shared" si="4"/>
        <v>150</v>
      </c>
      <c r="L19" s="11">
        <v>124.0976</v>
      </c>
      <c r="M19" s="11">
        <v>151.19999999999999</v>
      </c>
      <c r="N19" s="11">
        <v>166.32</v>
      </c>
      <c r="O19" s="11">
        <v>149.52000000000001</v>
      </c>
      <c r="P19" s="11">
        <v>200.4</v>
      </c>
      <c r="Q19" s="11">
        <v>135</v>
      </c>
      <c r="R19" s="11">
        <v>230.88</v>
      </c>
      <c r="S19" s="11">
        <v>161.80000000000001</v>
      </c>
      <c r="T19" s="11"/>
      <c r="U19" s="11"/>
    </row>
    <row r="20" spans="1:21" x14ac:dyDescent="0.25">
      <c r="A20" s="10">
        <v>1250</v>
      </c>
      <c r="B20" s="10">
        <v>1300</v>
      </c>
      <c r="C20" s="10" t="str">
        <f>IF(AND(Rekentool!$F$56&gt;=A20,Rekentool!$F$56&lt;B20),"Ja","Nee")</f>
        <v>Nee</v>
      </c>
      <c r="D20" s="10" t="str">
        <f>IF(Rekentool!$F$55&lt;=Rekentool!$F$56,IF(AND(Rekentool!$F$55&gt;=A20,Rekentool!$F$55&lt;B20),"Ja","Nee"),IF(AND(Rekentool!$F$56&gt;=A20,Rekentool!$F$56&lt;B20),"Ja","Nee"))</f>
        <v>Nee</v>
      </c>
      <c r="E20" s="11">
        <v>162</v>
      </c>
      <c r="F20" s="11">
        <v>178.8</v>
      </c>
      <c r="G20" s="11">
        <v>178.8</v>
      </c>
      <c r="H20" s="11">
        <v>199</v>
      </c>
      <c r="I20" s="11">
        <v>124.1</v>
      </c>
      <c r="J20" s="11">
        <f>13.75*12</f>
        <v>165</v>
      </c>
      <c r="K20" s="11">
        <f t="shared" si="4"/>
        <v>150</v>
      </c>
      <c r="L20" s="11">
        <v>124.0976</v>
      </c>
      <c r="M20" s="11">
        <v>151.19999999999999</v>
      </c>
      <c r="N20" s="11">
        <v>166.32</v>
      </c>
      <c r="O20" s="11">
        <v>149.52000000000001</v>
      </c>
      <c r="P20" s="11">
        <v>218.4</v>
      </c>
      <c r="Q20" s="11">
        <v>135</v>
      </c>
      <c r="R20" s="11">
        <v>230.88</v>
      </c>
      <c r="S20" s="11">
        <v>161.80000000000001</v>
      </c>
      <c r="T20" s="11"/>
      <c r="U20" s="11"/>
    </row>
    <row r="21" spans="1:21" x14ac:dyDescent="0.25">
      <c r="A21" s="10">
        <v>1300</v>
      </c>
      <c r="B21" s="10">
        <v>1400</v>
      </c>
      <c r="C21" s="10" t="str">
        <f>IF(AND(Rekentool!$F$56&gt;=A21,Rekentool!$F$56&lt;B21),"Ja","Nee")</f>
        <v>Nee</v>
      </c>
      <c r="D21" s="10" t="str">
        <f>IF(Rekentool!$F$55&lt;=Rekentool!$F$56,IF(AND(Rekentool!$F$55&gt;=A21,Rekentool!$F$55&lt;B21),"Ja","Nee"),IF(AND(Rekentool!$F$56&gt;=A21,Rekentool!$F$56&lt;B21),"Ja","Nee"))</f>
        <v>Nee</v>
      </c>
      <c r="E21" s="11">
        <v>162</v>
      </c>
      <c r="F21" s="11">
        <v>178.8</v>
      </c>
      <c r="G21" s="11">
        <v>178.8</v>
      </c>
      <c r="H21" s="11">
        <v>199</v>
      </c>
      <c r="I21" s="11">
        <v>124.1</v>
      </c>
      <c r="J21" s="11">
        <f t="shared" ref="J21:J22" si="5">13.75*12</f>
        <v>165</v>
      </c>
      <c r="K21" s="11">
        <f t="shared" si="4"/>
        <v>150</v>
      </c>
      <c r="L21" s="11">
        <v>124.0976</v>
      </c>
      <c r="M21" s="11">
        <v>151.19999999999999</v>
      </c>
      <c r="N21" s="11">
        <v>166.32</v>
      </c>
      <c r="O21" s="11">
        <v>149.52000000000001</v>
      </c>
      <c r="P21" s="11">
        <v>218.4</v>
      </c>
      <c r="Q21" s="11">
        <v>145</v>
      </c>
      <c r="R21" s="11">
        <v>230.88</v>
      </c>
      <c r="S21" s="11">
        <v>174.7</v>
      </c>
      <c r="T21" s="11"/>
      <c r="U21" s="11"/>
    </row>
    <row r="22" spans="1:21" x14ac:dyDescent="0.25">
      <c r="A22" s="10">
        <v>1400</v>
      </c>
      <c r="B22" s="10">
        <v>1500</v>
      </c>
      <c r="C22" s="10" t="str">
        <f>IF(AND(Rekentool!$F$56&gt;=A22,Rekentool!$F$56&lt;B22),"Ja","Nee")</f>
        <v>Nee</v>
      </c>
      <c r="D22" s="10" t="str">
        <f>IF(Rekentool!$F$55&lt;=Rekentool!$F$56,IF(AND(Rekentool!$F$55&gt;=A22,Rekentool!$F$55&lt;B22),"Ja","Nee"),IF(AND(Rekentool!$F$56&gt;=A22,Rekentool!$F$56&lt;B22),"Ja","Nee"))</f>
        <v>Nee</v>
      </c>
      <c r="E22" s="11">
        <v>162</v>
      </c>
      <c r="F22" s="11">
        <v>178.8</v>
      </c>
      <c r="G22" s="11">
        <v>178.8</v>
      </c>
      <c r="H22" s="11">
        <v>199</v>
      </c>
      <c r="I22" s="11">
        <v>124.1</v>
      </c>
      <c r="J22" s="11">
        <f t="shared" si="5"/>
        <v>165</v>
      </c>
      <c r="K22" s="11">
        <f t="shared" si="4"/>
        <v>150</v>
      </c>
      <c r="L22" s="11">
        <v>124.0976</v>
      </c>
      <c r="M22" s="11">
        <v>151.19999999999999</v>
      </c>
      <c r="N22" s="11">
        <v>166.32</v>
      </c>
      <c r="O22" s="11">
        <v>149.52000000000001</v>
      </c>
      <c r="P22" s="11">
        <v>218.4</v>
      </c>
      <c r="Q22" s="11">
        <v>160</v>
      </c>
      <c r="R22" s="11">
        <v>230.88</v>
      </c>
      <c r="S22" s="11">
        <v>187.7</v>
      </c>
      <c r="T22" s="11"/>
      <c r="U22" s="11"/>
    </row>
    <row r="23" spans="1:21" x14ac:dyDescent="0.25">
      <c r="A23" s="10">
        <v>1500</v>
      </c>
      <c r="B23" s="10">
        <v>1600</v>
      </c>
      <c r="C23" s="10" t="str">
        <f>IF(AND(Rekentool!$F$56&gt;=A23,Rekentool!$F$56&lt;B23),"Ja","Nee")</f>
        <v>Nee</v>
      </c>
      <c r="D23" s="10" t="str">
        <f>IF(Rekentool!$F$55&lt;=Rekentool!$F$56,IF(AND(Rekentool!$F$55&gt;=A23,Rekentool!$F$55&lt;B23),"Ja","Nee"),IF(AND(Rekentool!$F$56&gt;=A23,Rekentool!$F$56&lt;B23),"Ja","Nee"))</f>
        <v>Nee</v>
      </c>
      <c r="E23" s="11">
        <v>210</v>
      </c>
      <c r="F23" s="11">
        <v>211.32</v>
      </c>
      <c r="G23" s="11">
        <v>211.32</v>
      </c>
      <c r="H23" s="11">
        <v>236</v>
      </c>
      <c r="I23" s="11">
        <v>124.1</v>
      </c>
      <c r="J23" s="11">
        <f>16.25*12</f>
        <v>195</v>
      </c>
      <c r="K23" s="11">
        <f t="shared" si="4"/>
        <v>150</v>
      </c>
      <c r="L23" s="11">
        <v>124.0976</v>
      </c>
      <c r="M23" s="11">
        <v>211.79999999999998</v>
      </c>
      <c r="N23" s="11">
        <v>232.79999999999998</v>
      </c>
      <c r="O23" s="11">
        <v>207.02</v>
      </c>
      <c r="P23" s="11">
        <v>241.2</v>
      </c>
      <c r="Q23" s="11">
        <v>185</v>
      </c>
      <c r="R23" s="11">
        <v>230.88</v>
      </c>
      <c r="S23" s="11">
        <v>200.7</v>
      </c>
      <c r="T23" s="11"/>
      <c r="U23" s="11"/>
    </row>
    <row r="24" spans="1:21" x14ac:dyDescent="0.25">
      <c r="A24" s="10">
        <v>1600</v>
      </c>
      <c r="B24" s="10">
        <v>1700</v>
      </c>
      <c r="C24" s="10" t="str">
        <f>IF(AND(Rekentool!$F$56&gt;=A24,Rekentool!$F$56&lt;B24),"Ja","Nee")</f>
        <v>Nee</v>
      </c>
      <c r="D24" s="10" t="str">
        <f>IF(Rekentool!$F$55&lt;=Rekentool!$F$56,IF(AND(Rekentool!$F$55&gt;=A24,Rekentool!$F$55&lt;B24),"Ja","Nee"),IF(AND(Rekentool!$F$56&gt;=A24,Rekentool!$F$56&lt;B24),"Ja","Nee"))</f>
        <v>Nee</v>
      </c>
      <c r="E24" s="11">
        <v>210</v>
      </c>
      <c r="F24" s="11">
        <v>211.32</v>
      </c>
      <c r="G24" s="11">
        <v>211.32</v>
      </c>
      <c r="H24" s="11">
        <v>236</v>
      </c>
      <c r="I24" s="11">
        <v>124.1</v>
      </c>
      <c r="J24" s="11">
        <f t="shared" ref="J24:J25" si="6">16.25*12</f>
        <v>195</v>
      </c>
      <c r="K24" s="11">
        <f t="shared" si="4"/>
        <v>150</v>
      </c>
      <c r="L24" s="11">
        <v>124.0976</v>
      </c>
      <c r="M24" s="11">
        <v>211.79999999999998</v>
      </c>
      <c r="N24" s="11">
        <v>232.79999999999998</v>
      </c>
      <c r="O24" s="11">
        <v>207.02</v>
      </c>
      <c r="P24" s="11">
        <v>241.2</v>
      </c>
      <c r="Q24" s="11">
        <v>185</v>
      </c>
      <c r="R24" s="11">
        <v>230.88</v>
      </c>
      <c r="S24" s="11">
        <v>213.6</v>
      </c>
      <c r="T24" s="11"/>
      <c r="U24" s="11"/>
    </row>
    <row r="25" spans="1:21" x14ac:dyDescent="0.25">
      <c r="A25" s="10">
        <v>1700</v>
      </c>
      <c r="B25" s="10">
        <v>1750</v>
      </c>
      <c r="C25" s="10" t="str">
        <f>IF(AND(Rekentool!$F$56&gt;=A25,Rekentool!$F$56&lt;B25),"Ja","Nee")</f>
        <v>Nee</v>
      </c>
      <c r="D25" s="10" t="str">
        <f>IF(Rekentool!$F$55&lt;=Rekentool!$F$56,IF(AND(Rekentool!$F$55&gt;=A25,Rekentool!$F$55&lt;B25),"Ja","Nee"),IF(AND(Rekentool!$F$56&gt;=A25,Rekentool!$F$56&lt;B25),"Ja","Nee"))</f>
        <v>Nee</v>
      </c>
      <c r="E25" s="11">
        <v>210</v>
      </c>
      <c r="F25" s="11">
        <v>211.32</v>
      </c>
      <c r="G25" s="11">
        <v>211.32</v>
      </c>
      <c r="H25" s="11">
        <v>236</v>
      </c>
      <c r="I25" s="11">
        <v>124.1</v>
      </c>
      <c r="J25" s="11">
        <f t="shared" si="6"/>
        <v>195</v>
      </c>
      <c r="K25" s="11">
        <f t="shared" si="4"/>
        <v>150</v>
      </c>
      <c r="L25" s="11">
        <v>124.0976</v>
      </c>
      <c r="M25" s="11">
        <v>211.79999999999998</v>
      </c>
      <c r="N25" s="11">
        <v>232.79999999999998</v>
      </c>
      <c r="O25" s="11">
        <v>207.02</v>
      </c>
      <c r="P25" s="11">
        <v>241.2</v>
      </c>
      <c r="Q25" s="11">
        <v>185</v>
      </c>
      <c r="R25" s="11">
        <v>230.88</v>
      </c>
      <c r="S25" s="11">
        <v>226.5</v>
      </c>
      <c r="T25" s="11"/>
      <c r="U25" s="11"/>
    </row>
    <row r="26" spans="1:21" x14ac:dyDescent="0.25">
      <c r="A26" s="10">
        <v>1750</v>
      </c>
      <c r="B26" s="10">
        <v>1800</v>
      </c>
      <c r="C26" s="10" t="str">
        <f>IF(AND(Rekentool!$F$56&gt;=A26,Rekentool!$F$56&lt;B26),"Ja","Nee")</f>
        <v>Nee</v>
      </c>
      <c r="D26" s="10" t="str">
        <f>IF(Rekentool!$F$55&lt;=Rekentool!$F$56,IF(AND(Rekentool!$F$55&gt;=A26,Rekentool!$F$55&lt;B26),"Ja","Nee"),IF(AND(Rekentool!$F$56&gt;=A26,Rekentool!$F$56&lt;B26),"Ja","Nee"))</f>
        <v>Nee</v>
      </c>
      <c r="E26" s="11">
        <v>210</v>
      </c>
      <c r="F26" s="11">
        <v>243.84</v>
      </c>
      <c r="G26" s="11">
        <v>243.84</v>
      </c>
      <c r="H26" s="11">
        <v>272</v>
      </c>
      <c r="I26" s="11">
        <v>124.1</v>
      </c>
      <c r="J26" s="11">
        <f>18.75*12</f>
        <v>225</v>
      </c>
      <c r="K26" s="11">
        <f t="shared" si="4"/>
        <v>150</v>
      </c>
      <c r="L26" s="11">
        <v>124.0976</v>
      </c>
      <c r="M26" s="11">
        <v>211.79999999999998</v>
      </c>
      <c r="N26" s="11">
        <v>232.79999999999998</v>
      </c>
      <c r="O26" s="11">
        <v>207.02</v>
      </c>
      <c r="P26" s="11">
        <v>271.2</v>
      </c>
      <c r="Q26" s="11">
        <v>220</v>
      </c>
      <c r="R26" s="11">
        <v>230.88</v>
      </c>
      <c r="S26" s="11">
        <v>226.5</v>
      </c>
      <c r="T26" s="11"/>
      <c r="U26" s="11"/>
    </row>
    <row r="27" spans="1:21" x14ac:dyDescent="0.25">
      <c r="A27" s="10">
        <v>1800</v>
      </c>
      <c r="B27" s="10">
        <v>1900</v>
      </c>
      <c r="C27" s="10" t="str">
        <f>IF(AND(Rekentool!$F$56&gt;=A27,Rekentool!$F$56&lt;B27),"Ja","Nee")</f>
        <v>Nee</v>
      </c>
      <c r="D27" s="10" t="str">
        <f>IF(Rekentool!$F$55&lt;=Rekentool!$F$56,IF(AND(Rekentool!$F$55&gt;=A27,Rekentool!$F$55&lt;B27),"Ja","Nee"),IF(AND(Rekentool!$F$56&gt;=A27,Rekentool!$F$56&lt;B27),"Ja","Nee"))</f>
        <v>Nee</v>
      </c>
      <c r="E27" s="11">
        <v>210</v>
      </c>
      <c r="F27" s="11">
        <v>243.84</v>
      </c>
      <c r="G27" s="11">
        <v>243.84</v>
      </c>
      <c r="H27" s="11">
        <v>272</v>
      </c>
      <c r="I27" s="11">
        <v>124.1</v>
      </c>
      <c r="J27" s="11">
        <f t="shared" ref="J27:J28" si="7">18.75*12</f>
        <v>225</v>
      </c>
      <c r="K27" s="11">
        <f t="shared" si="4"/>
        <v>150</v>
      </c>
      <c r="L27" s="11">
        <v>124.0976</v>
      </c>
      <c r="M27" s="11">
        <v>211.79999999999998</v>
      </c>
      <c r="N27" s="11">
        <v>232.79999999999998</v>
      </c>
      <c r="O27" s="11">
        <v>207.02</v>
      </c>
      <c r="P27" s="11">
        <v>271.2</v>
      </c>
      <c r="Q27" s="11">
        <v>220</v>
      </c>
      <c r="R27" s="11">
        <v>230.88</v>
      </c>
      <c r="S27" s="11">
        <v>239.5</v>
      </c>
      <c r="T27" s="11"/>
      <c r="U27" s="11"/>
    </row>
    <row r="28" spans="1:21" x14ac:dyDescent="0.25">
      <c r="A28" s="10">
        <v>1900</v>
      </c>
      <c r="B28" s="10">
        <v>2000</v>
      </c>
      <c r="C28" s="10" t="str">
        <f>IF(AND(Rekentool!$F$56&gt;=A28,Rekentool!$F$56&lt;B28),"Ja","Nee")</f>
        <v>Nee</v>
      </c>
      <c r="D28" s="10" t="str">
        <f>IF(Rekentool!$F$55&lt;=Rekentool!$F$56,IF(AND(Rekentool!$F$55&gt;=A28,Rekentool!$F$55&lt;B28),"Ja","Nee"),IF(AND(Rekentool!$F$56&gt;=A28,Rekentool!$F$56&lt;B28),"Ja","Nee"))</f>
        <v>Nee</v>
      </c>
      <c r="E28" s="11">
        <v>210</v>
      </c>
      <c r="F28" s="11">
        <v>243.84</v>
      </c>
      <c r="G28" s="11">
        <v>243.84</v>
      </c>
      <c r="H28" s="11">
        <v>272</v>
      </c>
      <c r="I28" s="11">
        <v>124.1</v>
      </c>
      <c r="J28" s="11">
        <f t="shared" si="7"/>
        <v>225</v>
      </c>
      <c r="K28" s="11">
        <f t="shared" si="4"/>
        <v>150</v>
      </c>
      <c r="L28" s="11">
        <v>124.0976</v>
      </c>
      <c r="M28" s="11">
        <v>211.79999999999998</v>
      </c>
      <c r="N28" s="11">
        <v>232.79999999999998</v>
      </c>
      <c r="O28" s="11">
        <v>207.02</v>
      </c>
      <c r="P28" s="11">
        <v>271.2</v>
      </c>
      <c r="Q28" s="11">
        <v>220</v>
      </c>
      <c r="R28" s="11">
        <v>230.88</v>
      </c>
      <c r="S28" s="11">
        <v>252.5</v>
      </c>
      <c r="T28" s="11"/>
      <c r="U28" s="11"/>
    </row>
    <row r="29" spans="1:21" x14ac:dyDescent="0.25">
      <c r="A29" s="10">
        <v>2000</v>
      </c>
      <c r="B29" s="10">
        <v>2200</v>
      </c>
      <c r="C29" s="10" t="str">
        <f>IF(AND(Rekentool!$F$56&gt;=A29,Rekentool!$F$56&lt;B29),"Ja","Nee")</f>
        <v>Ja</v>
      </c>
      <c r="D29" s="10" t="str">
        <f>IF(Rekentool!$F$55&lt;=Rekentool!$F$56,IF(AND(Rekentool!$F$55&gt;=A29,Rekentool!$F$55&lt;B29),"Ja","Nee"),IF(AND(Rekentool!$F$56&gt;=A29,Rekentool!$F$56&lt;B29),"Ja","Nee"))</f>
        <v>Nee</v>
      </c>
      <c r="E29" s="11">
        <v>276</v>
      </c>
      <c r="F29" s="11">
        <v>276.36</v>
      </c>
      <c r="G29" s="11">
        <v>276.36</v>
      </c>
      <c r="H29" s="11">
        <v>309</v>
      </c>
      <c r="I29" s="11">
        <v>269.91000000000003</v>
      </c>
      <c r="J29" s="11">
        <f>21.25*12</f>
        <v>255</v>
      </c>
      <c r="K29" s="11">
        <f>21*12</f>
        <v>252</v>
      </c>
      <c r="L29" s="11">
        <v>269.91000000000003</v>
      </c>
      <c r="M29" s="11">
        <v>332.76</v>
      </c>
      <c r="N29" s="11">
        <v>299.39999999999998</v>
      </c>
      <c r="O29" s="11">
        <v>264.52999999999997</v>
      </c>
      <c r="P29" s="11">
        <v>301.2</v>
      </c>
      <c r="Q29" s="11">
        <v>255</v>
      </c>
      <c r="R29" s="11">
        <v>389.64</v>
      </c>
      <c r="S29" s="11">
        <v>271.8</v>
      </c>
      <c r="T29" s="11"/>
      <c r="U29" s="11"/>
    </row>
    <row r="30" spans="1:21" x14ac:dyDescent="0.25">
      <c r="A30" s="10">
        <v>2200</v>
      </c>
      <c r="B30" s="10">
        <v>2250</v>
      </c>
      <c r="C30" s="10" t="str">
        <f>IF(AND(Rekentool!$F$56&gt;=A30,Rekentool!$F$56&lt;B30),"Ja","Nee")</f>
        <v>Nee</v>
      </c>
      <c r="D30" s="10" t="str">
        <f>IF(Rekentool!$F$55&lt;=Rekentool!$F$56,IF(AND(Rekentool!$F$55&gt;=A30,Rekentool!$F$55&lt;B30),"Ja","Nee"),IF(AND(Rekentool!$F$56&gt;=A30,Rekentool!$F$56&lt;B30),"Ja","Nee"))</f>
        <v>Nee</v>
      </c>
      <c r="E30" s="11">
        <v>276</v>
      </c>
      <c r="F30" s="11">
        <v>276.36</v>
      </c>
      <c r="G30" s="11">
        <v>276.36</v>
      </c>
      <c r="H30" s="11">
        <v>309</v>
      </c>
      <c r="I30" s="11">
        <v>269.91000000000003</v>
      </c>
      <c r="J30" s="11">
        <f>21.25*12</f>
        <v>255</v>
      </c>
      <c r="K30" s="11">
        <f t="shared" ref="K30:K36" si="8">21*12</f>
        <v>252</v>
      </c>
      <c r="L30" s="11">
        <v>269.91000000000003</v>
      </c>
      <c r="M30" s="11">
        <v>332.76</v>
      </c>
      <c r="N30" s="11">
        <v>299.39999999999998</v>
      </c>
      <c r="O30" s="11">
        <v>264.52999999999997</v>
      </c>
      <c r="P30" s="11">
        <v>301.2</v>
      </c>
      <c r="Q30" s="11">
        <v>255</v>
      </c>
      <c r="R30" s="11">
        <v>389.64</v>
      </c>
      <c r="S30" s="11">
        <v>297.7</v>
      </c>
      <c r="T30" s="11"/>
      <c r="U30" s="11"/>
    </row>
    <row r="31" spans="1:21" x14ac:dyDescent="0.25">
      <c r="A31" s="10">
        <v>2250</v>
      </c>
      <c r="B31" s="10">
        <v>2400</v>
      </c>
      <c r="C31" s="10" t="str">
        <f>IF(AND(Rekentool!$F$56&gt;=A31,Rekentool!$F$56&lt;B31),"Ja","Nee")</f>
        <v>Nee</v>
      </c>
      <c r="D31" s="10" t="str">
        <f>IF(Rekentool!$F$55&lt;=Rekentool!$F$56,IF(AND(Rekentool!$F$55&gt;=A31,Rekentool!$F$55&lt;B31),"Ja","Nee"),IF(AND(Rekentool!$F$56&gt;=A31,Rekentool!$F$56&lt;B31),"Ja","Nee"))</f>
        <v>Nee</v>
      </c>
      <c r="E31" s="11">
        <v>276</v>
      </c>
      <c r="F31" s="11">
        <v>308.76</v>
      </c>
      <c r="G31" s="11">
        <v>308.76</v>
      </c>
      <c r="H31" s="11">
        <v>344</v>
      </c>
      <c r="I31" s="11">
        <v>269.91000000000003</v>
      </c>
      <c r="J31" s="11">
        <f>23.75*12</f>
        <v>285</v>
      </c>
      <c r="K31" s="11">
        <f t="shared" si="8"/>
        <v>252</v>
      </c>
      <c r="L31" s="11">
        <v>269.91000000000003</v>
      </c>
      <c r="M31" s="11">
        <v>332.76</v>
      </c>
      <c r="N31" s="11">
        <v>299.39999999999998</v>
      </c>
      <c r="O31" s="11">
        <v>264.52999999999997</v>
      </c>
      <c r="P31" s="11">
        <v>331.8</v>
      </c>
      <c r="Q31" s="11">
        <v>295</v>
      </c>
      <c r="R31" s="11">
        <v>389.64</v>
      </c>
      <c r="S31" s="11">
        <v>297.7</v>
      </c>
      <c r="T31" s="11"/>
      <c r="U31" s="11"/>
    </row>
    <row r="32" spans="1:21" x14ac:dyDescent="0.25">
      <c r="A32" s="10">
        <v>2400</v>
      </c>
      <c r="B32" s="10">
        <v>2500</v>
      </c>
      <c r="C32" s="10" t="str">
        <f>IF(AND(Rekentool!$F$56&gt;=A32,Rekentool!$F$56&lt;B32),"Ja","Nee")</f>
        <v>Nee</v>
      </c>
      <c r="D32" s="10" t="str">
        <f>IF(Rekentool!$F$55&lt;=Rekentool!$F$56,IF(AND(Rekentool!$F$55&gt;=A32,Rekentool!$F$55&lt;B32),"Ja","Nee"),IF(AND(Rekentool!$F$56&gt;=A32,Rekentool!$F$56&lt;B32),"Ja","Nee"))</f>
        <v>Nee</v>
      </c>
      <c r="E32" s="11">
        <v>276</v>
      </c>
      <c r="F32" s="11">
        <v>308.76</v>
      </c>
      <c r="G32" s="11">
        <v>308.76</v>
      </c>
      <c r="H32" s="11">
        <v>344</v>
      </c>
      <c r="I32" s="11">
        <v>269.91000000000003</v>
      </c>
      <c r="J32" s="11">
        <f>23.75*12</f>
        <v>285</v>
      </c>
      <c r="K32" s="11">
        <f t="shared" si="8"/>
        <v>252</v>
      </c>
      <c r="L32" s="11">
        <v>269.91000000000003</v>
      </c>
      <c r="M32" s="11">
        <v>332.76</v>
      </c>
      <c r="N32" s="11">
        <v>299.39999999999998</v>
      </c>
      <c r="O32" s="11">
        <v>264.52999999999997</v>
      </c>
      <c r="P32" s="11">
        <v>331.8</v>
      </c>
      <c r="Q32" s="11">
        <v>295</v>
      </c>
      <c r="R32" s="11">
        <v>389.64</v>
      </c>
      <c r="S32" s="11">
        <v>323.60000000000002</v>
      </c>
      <c r="T32" s="11"/>
      <c r="U32" s="11"/>
    </row>
    <row r="33" spans="1:21" x14ac:dyDescent="0.25">
      <c r="A33" s="10">
        <v>2500</v>
      </c>
      <c r="B33" s="10">
        <v>2600</v>
      </c>
      <c r="C33" s="10" t="str">
        <f>IF(AND(Rekentool!$F$56&gt;=A33,Rekentool!$F$56&lt;B33),"Ja","Nee")</f>
        <v>Nee</v>
      </c>
      <c r="D33" s="10" t="str">
        <f>IF(Rekentool!$F$55&lt;=Rekentool!$F$56,IF(AND(Rekentool!$F$55&gt;=A33,Rekentool!$F$55&lt;B33),"Ja","Nee"),IF(AND(Rekentool!$F$56&gt;=A33,Rekentool!$F$56&lt;B33),"Ja","Nee"))</f>
        <v>Nee</v>
      </c>
      <c r="E33" s="11">
        <v>348</v>
      </c>
      <c r="F33" s="11">
        <v>341.28000000000003</v>
      </c>
      <c r="G33" s="11">
        <v>341.28000000000003</v>
      </c>
      <c r="H33" s="11">
        <v>381</v>
      </c>
      <c r="I33" s="11">
        <v>269.91000000000003</v>
      </c>
      <c r="J33" s="11">
        <f>26.25*12</f>
        <v>315</v>
      </c>
      <c r="K33" s="11">
        <f t="shared" si="8"/>
        <v>252</v>
      </c>
      <c r="L33" s="11">
        <v>269.91000000000003</v>
      </c>
      <c r="M33" s="11">
        <v>272.28000000000003</v>
      </c>
      <c r="N33" s="11">
        <v>366</v>
      </c>
      <c r="O33" s="11">
        <v>322.02999999999997</v>
      </c>
      <c r="P33" s="11">
        <v>367.2</v>
      </c>
      <c r="Q33" s="11">
        <v>335</v>
      </c>
      <c r="R33" s="11">
        <v>389.64</v>
      </c>
      <c r="S33" s="11">
        <v>323.60000000000002</v>
      </c>
      <c r="T33" s="11"/>
      <c r="U33" s="11"/>
    </row>
    <row r="34" spans="1:21" x14ac:dyDescent="0.25">
      <c r="A34" s="10">
        <v>2600</v>
      </c>
      <c r="B34" s="10">
        <v>2750</v>
      </c>
      <c r="C34" s="10" t="str">
        <f>IF(AND(Rekentool!$F$56&gt;=A34,Rekentool!$F$56&lt;B34),"Ja","Nee")</f>
        <v>Nee</v>
      </c>
      <c r="D34" s="10" t="str">
        <f>IF(Rekentool!$F$55&lt;=Rekentool!$F$56,IF(AND(Rekentool!$F$55&gt;=A34,Rekentool!$F$55&lt;B34),"Ja","Nee"),IF(AND(Rekentool!$F$56&gt;=A34,Rekentool!$F$56&lt;B34),"Ja","Nee"))</f>
        <v>Nee</v>
      </c>
      <c r="E34" s="11">
        <v>348</v>
      </c>
      <c r="F34" s="11">
        <v>341.28000000000003</v>
      </c>
      <c r="G34" s="11">
        <v>341.28000000000003</v>
      </c>
      <c r="H34" s="11">
        <v>381</v>
      </c>
      <c r="I34" s="11">
        <v>269.91000000000003</v>
      </c>
      <c r="J34" s="11">
        <f>26.25*12</f>
        <v>315</v>
      </c>
      <c r="K34" s="11">
        <f t="shared" si="8"/>
        <v>252</v>
      </c>
      <c r="L34" s="11">
        <v>269.91000000000003</v>
      </c>
      <c r="M34" s="11">
        <v>272.28000000000003</v>
      </c>
      <c r="N34" s="11">
        <v>366</v>
      </c>
      <c r="O34" s="11">
        <v>322.02999999999997</v>
      </c>
      <c r="P34" s="11">
        <v>367.2</v>
      </c>
      <c r="Q34" s="11">
        <v>335</v>
      </c>
      <c r="R34" s="11">
        <v>389.64</v>
      </c>
      <c r="S34" s="11">
        <v>349.5</v>
      </c>
      <c r="T34" s="11"/>
      <c r="U34" s="11"/>
    </row>
    <row r="35" spans="1:21" x14ac:dyDescent="0.25">
      <c r="A35" s="10">
        <v>2750</v>
      </c>
      <c r="B35" s="10">
        <v>2800</v>
      </c>
      <c r="C35" s="10" t="str">
        <f>IF(AND(Rekentool!$F$56&gt;=A35,Rekentool!$F$56&lt;B35),"Ja","Nee")</f>
        <v>Nee</v>
      </c>
      <c r="D35" s="10" t="str">
        <f>IF(Rekentool!$F$55&lt;=Rekentool!$F$56,IF(AND(Rekentool!$F$55&gt;=A35,Rekentool!$F$55&lt;B35),"Ja","Nee"),IF(AND(Rekentool!$F$56&gt;=A35,Rekentool!$F$56&lt;B35),"Ja","Nee"))</f>
        <v>Nee</v>
      </c>
      <c r="E35" s="11">
        <v>348</v>
      </c>
      <c r="F35" s="11">
        <v>373.79999999999995</v>
      </c>
      <c r="G35" s="11">
        <v>373.79999999999995</v>
      </c>
      <c r="H35" s="11">
        <v>417</v>
      </c>
      <c r="I35" s="11">
        <v>269.91000000000003</v>
      </c>
      <c r="J35" s="11">
        <f>28.75*12</f>
        <v>345</v>
      </c>
      <c r="K35" s="11">
        <f t="shared" si="8"/>
        <v>252</v>
      </c>
      <c r="L35" s="11">
        <v>269.91000000000003</v>
      </c>
      <c r="M35" s="11">
        <v>272.28000000000003</v>
      </c>
      <c r="N35" s="11">
        <v>366</v>
      </c>
      <c r="O35" s="11">
        <v>322.02999999999997</v>
      </c>
      <c r="P35" s="11">
        <v>405</v>
      </c>
      <c r="Q35" s="11">
        <v>380</v>
      </c>
      <c r="R35" s="11">
        <v>389.64</v>
      </c>
      <c r="S35" s="11">
        <v>349.5</v>
      </c>
      <c r="T35" s="11"/>
      <c r="U35" s="11"/>
    </row>
    <row r="36" spans="1:21" x14ac:dyDescent="0.25">
      <c r="A36" s="10">
        <v>2800</v>
      </c>
      <c r="B36" s="10">
        <v>3000</v>
      </c>
      <c r="C36" s="10" t="str">
        <f>IF(AND(Rekentool!$F$56&gt;=A36,Rekentool!$F$56&lt;B36),"Ja","Nee")</f>
        <v>Nee</v>
      </c>
      <c r="D36" s="10" t="str">
        <f>IF(Rekentool!$F$55&lt;=Rekentool!$F$56,IF(AND(Rekentool!$F$55&gt;=A36,Rekentool!$F$55&lt;B36),"Ja","Nee"),IF(AND(Rekentool!$F$56&gt;=A36,Rekentool!$F$56&lt;B36),"Ja","Nee"))</f>
        <v>Nee</v>
      </c>
      <c r="E36" s="11">
        <v>348</v>
      </c>
      <c r="F36" s="11">
        <v>373.79999999999995</v>
      </c>
      <c r="G36" s="11">
        <v>373.79999999999995</v>
      </c>
      <c r="H36" s="11">
        <v>417</v>
      </c>
      <c r="I36" s="11">
        <v>269.91000000000003</v>
      </c>
      <c r="J36" s="11">
        <f>28.75*12</f>
        <v>345</v>
      </c>
      <c r="K36" s="11">
        <f t="shared" si="8"/>
        <v>252</v>
      </c>
      <c r="L36" s="11">
        <v>269.91000000000003</v>
      </c>
      <c r="M36" s="11">
        <v>272.28000000000003</v>
      </c>
      <c r="N36" s="11">
        <v>366</v>
      </c>
      <c r="O36" s="11">
        <v>322.02999999999997</v>
      </c>
      <c r="P36" s="11">
        <v>405</v>
      </c>
      <c r="Q36" s="11">
        <v>380</v>
      </c>
      <c r="R36" s="11">
        <v>389.64</v>
      </c>
      <c r="S36" s="11">
        <v>375.4</v>
      </c>
      <c r="T36" s="11"/>
      <c r="U36" s="11"/>
    </row>
    <row r="37" spans="1:21" x14ac:dyDescent="0.25">
      <c r="A37" s="10">
        <v>3000</v>
      </c>
      <c r="B37" s="10">
        <v>3200</v>
      </c>
      <c r="C37" s="10" t="str">
        <f>IF(AND(Rekentool!$F$56&gt;=A37,Rekentool!$F$56&lt;B37),"Ja","Nee")</f>
        <v>Nee</v>
      </c>
      <c r="D37" s="10" t="str">
        <f>IF(Rekentool!$F$55&lt;=Rekentool!$F$56,IF(AND(Rekentool!$F$55&gt;=A37,Rekentool!$F$55&lt;B37),"Ja","Nee"),IF(AND(Rekentool!$F$56&gt;=A37,Rekentool!$F$56&lt;B37),"Ja","Nee"))</f>
        <v>Nee</v>
      </c>
      <c r="E37" s="11">
        <v>438</v>
      </c>
      <c r="F37" s="11">
        <v>406.32</v>
      </c>
      <c r="G37" s="11">
        <v>406.32</v>
      </c>
      <c r="H37" s="11">
        <v>471</v>
      </c>
      <c r="I37" s="11">
        <v>439.9</v>
      </c>
      <c r="J37" s="11">
        <f>31.25*12</f>
        <v>375</v>
      </c>
      <c r="K37" s="11">
        <f>29*12</f>
        <v>348</v>
      </c>
      <c r="L37" s="11">
        <v>439.9</v>
      </c>
      <c r="M37" s="11">
        <v>393.24</v>
      </c>
      <c r="N37" s="11">
        <v>432.48</v>
      </c>
      <c r="O37" s="11">
        <v>379.54</v>
      </c>
      <c r="P37" s="11">
        <v>442.8</v>
      </c>
      <c r="Q37" s="11">
        <v>420</v>
      </c>
      <c r="R37" s="11">
        <v>544.67999999999995</v>
      </c>
      <c r="S37" s="11">
        <v>407.7</v>
      </c>
      <c r="T37" s="11"/>
      <c r="U37" s="11"/>
    </row>
    <row r="38" spans="1:21" x14ac:dyDescent="0.25">
      <c r="A38" s="10">
        <v>3200</v>
      </c>
      <c r="B38" s="10">
        <v>3250</v>
      </c>
      <c r="C38" s="10" t="str">
        <f>IF(AND(Rekentool!$F$56&gt;=A38,Rekentool!$F$56&lt;B38),"Ja","Nee")</f>
        <v>Nee</v>
      </c>
      <c r="D38" s="10" t="str">
        <f>IF(Rekentool!$F$55&lt;=Rekentool!$F$56,IF(AND(Rekentool!$F$55&gt;=A38,Rekentool!$F$55&lt;B38),"Ja","Nee"),IF(AND(Rekentool!$F$56&gt;=A38,Rekentool!$F$56&lt;B38),"Ja","Nee"))</f>
        <v>Nee</v>
      </c>
      <c r="E38" s="11">
        <v>438</v>
      </c>
      <c r="F38" s="11">
        <v>406.32</v>
      </c>
      <c r="G38" s="11">
        <v>406.32</v>
      </c>
      <c r="H38" s="11">
        <v>471</v>
      </c>
      <c r="I38" s="11">
        <v>439.9</v>
      </c>
      <c r="J38" s="11">
        <f>31.25*12</f>
        <v>375</v>
      </c>
      <c r="K38" s="11">
        <f t="shared" ref="K38:K43" si="9">29*12</f>
        <v>348</v>
      </c>
      <c r="L38" s="11">
        <v>439.9</v>
      </c>
      <c r="M38" s="11">
        <v>393.24</v>
      </c>
      <c r="N38" s="11">
        <v>432.48</v>
      </c>
      <c r="O38" s="11">
        <v>379.54</v>
      </c>
      <c r="P38" s="11">
        <v>442.8</v>
      </c>
      <c r="Q38" s="11">
        <v>420</v>
      </c>
      <c r="R38" s="11">
        <v>544.67999999999995</v>
      </c>
      <c r="S38" s="11">
        <v>407.7</v>
      </c>
      <c r="T38" s="11"/>
      <c r="U38" s="11"/>
    </row>
    <row r="39" spans="1:21" x14ac:dyDescent="0.25">
      <c r="A39" s="10">
        <v>3250</v>
      </c>
      <c r="B39" s="10">
        <v>3300</v>
      </c>
      <c r="C39" s="10" t="str">
        <f>IF(AND(Rekentool!$F$56&gt;=A39,Rekentool!$F$56&lt;B39),"Ja","Nee")</f>
        <v>Nee</v>
      </c>
      <c r="D39" s="10" t="str">
        <f>IF(Rekentool!$F$55&lt;=Rekentool!$F$56,IF(AND(Rekentool!$F$55&gt;=A39,Rekentool!$F$55&lt;B39),"Ja","Nee"),IF(AND(Rekentool!$F$56&gt;=A39,Rekentool!$F$56&lt;B39),"Ja","Nee"))</f>
        <v>Nee</v>
      </c>
      <c r="E39" s="11">
        <v>438</v>
      </c>
      <c r="F39" s="11">
        <v>438.84000000000003</v>
      </c>
      <c r="G39" s="11">
        <v>438.84000000000003</v>
      </c>
      <c r="H39" s="11">
        <v>471</v>
      </c>
      <c r="I39" s="11">
        <v>439.9</v>
      </c>
      <c r="J39" s="11">
        <f>33.75*12</f>
        <v>405</v>
      </c>
      <c r="K39" s="11">
        <f t="shared" si="9"/>
        <v>348</v>
      </c>
      <c r="L39" s="11">
        <v>439.9</v>
      </c>
      <c r="M39" s="11">
        <v>393.24</v>
      </c>
      <c r="N39" s="11">
        <v>432.48</v>
      </c>
      <c r="O39" s="11">
        <v>379.54</v>
      </c>
      <c r="P39" s="11">
        <v>480.6</v>
      </c>
      <c r="Q39" s="11">
        <v>450</v>
      </c>
      <c r="R39" s="11">
        <v>544.67999999999995</v>
      </c>
      <c r="S39" s="11">
        <v>407.7</v>
      </c>
      <c r="T39" s="11"/>
      <c r="U39" s="11"/>
    </row>
    <row r="40" spans="1:21" x14ac:dyDescent="0.25">
      <c r="A40" s="10">
        <v>3300</v>
      </c>
      <c r="B40" s="10">
        <v>3500</v>
      </c>
      <c r="C40" s="10" t="str">
        <f>IF(AND(Rekentool!$F$56&gt;=A40,Rekentool!$F$56&lt;B40),"Ja","Nee")</f>
        <v>Nee</v>
      </c>
      <c r="D40" s="10" t="str">
        <f>IF(Rekentool!$F$55&lt;=Rekentool!$F$56,IF(AND(Rekentool!$F$55&gt;=A40,Rekentool!$F$55&lt;B40),"Ja","Nee"),IF(AND(Rekentool!$F$56&gt;=A40,Rekentool!$F$56&lt;B40),"Ja","Nee"))</f>
        <v>Nee</v>
      </c>
      <c r="E40" s="11">
        <v>438</v>
      </c>
      <c r="F40" s="11">
        <v>438.84000000000003</v>
      </c>
      <c r="G40" s="11">
        <v>438.84000000000003</v>
      </c>
      <c r="H40" s="11">
        <v>471</v>
      </c>
      <c r="I40" s="11">
        <v>439.9</v>
      </c>
      <c r="J40" s="11">
        <f>33.75*12</f>
        <v>405</v>
      </c>
      <c r="K40" s="11">
        <f t="shared" si="9"/>
        <v>348</v>
      </c>
      <c r="L40" s="11">
        <v>439.9</v>
      </c>
      <c r="M40" s="11">
        <v>393.24</v>
      </c>
      <c r="N40" s="11">
        <v>432.48</v>
      </c>
      <c r="O40" s="11">
        <v>379.54</v>
      </c>
      <c r="P40" s="11">
        <v>480.6</v>
      </c>
      <c r="Q40" s="11">
        <v>450</v>
      </c>
      <c r="R40" s="11">
        <v>544.67999999999995</v>
      </c>
      <c r="S40" s="11">
        <v>446.5</v>
      </c>
      <c r="T40" s="11"/>
      <c r="U40" s="11"/>
    </row>
    <row r="41" spans="1:21" x14ac:dyDescent="0.25">
      <c r="A41" s="10">
        <v>3500</v>
      </c>
      <c r="B41" s="10">
        <v>3600</v>
      </c>
      <c r="C41" s="10" t="str">
        <f>IF(AND(Rekentool!$F$56&gt;=A41,Rekentool!$F$56&lt;B41),"Ja","Nee")</f>
        <v>Nee</v>
      </c>
      <c r="D41" s="10" t="str">
        <f>IF(Rekentool!$F$55&lt;=Rekentool!$F$56,IF(AND(Rekentool!$F$55&gt;=A41,Rekentool!$F$55&lt;B41),"Ja","Nee"),IF(AND(Rekentool!$F$56&gt;=A41,Rekentool!$F$56&lt;B41),"Ja","Nee"))</f>
        <v>Nee</v>
      </c>
      <c r="E41" s="11">
        <v>504</v>
      </c>
      <c r="F41" s="11">
        <v>471.36</v>
      </c>
      <c r="G41" s="11">
        <v>471.36</v>
      </c>
      <c r="H41" s="11">
        <v>544</v>
      </c>
      <c r="I41" s="11">
        <v>439.9</v>
      </c>
      <c r="J41" s="11">
        <f>36.25*12</f>
        <v>435</v>
      </c>
      <c r="K41" s="11">
        <f t="shared" si="9"/>
        <v>348</v>
      </c>
      <c r="L41" s="11">
        <v>439.9</v>
      </c>
      <c r="M41" s="11">
        <v>453.72</v>
      </c>
      <c r="N41" s="11">
        <v>499.08000000000004</v>
      </c>
      <c r="O41" s="11">
        <v>437.04</v>
      </c>
      <c r="P41" s="11">
        <v>520.20000000000005</v>
      </c>
      <c r="Q41" s="11">
        <v>505</v>
      </c>
      <c r="R41" s="11">
        <v>544.67999999999995</v>
      </c>
      <c r="S41" s="11">
        <v>446.5</v>
      </c>
      <c r="T41" s="11"/>
      <c r="U41" s="11"/>
    </row>
    <row r="42" spans="1:21" x14ac:dyDescent="0.25">
      <c r="A42" s="10">
        <v>3600</v>
      </c>
      <c r="B42" s="10">
        <v>3750</v>
      </c>
      <c r="C42" s="10" t="str">
        <f>IF(AND(Rekentool!$F$56&gt;=A42,Rekentool!$F$56&lt;B42),"Ja","Nee")</f>
        <v>Nee</v>
      </c>
      <c r="D42" s="10" t="str">
        <f>IF(Rekentool!$F$55&lt;=Rekentool!$F$56,IF(AND(Rekentool!$F$55&gt;=A42,Rekentool!$F$55&lt;B42),"Ja","Nee"),IF(AND(Rekentool!$F$56&gt;=A42,Rekentool!$F$56&lt;B42),"Ja","Nee"))</f>
        <v>Nee</v>
      </c>
      <c r="E42" s="11">
        <v>504</v>
      </c>
      <c r="F42" s="11">
        <v>471.36</v>
      </c>
      <c r="G42" s="11">
        <v>471.36</v>
      </c>
      <c r="H42" s="11">
        <v>544</v>
      </c>
      <c r="I42" s="11">
        <v>439.9</v>
      </c>
      <c r="J42" s="11">
        <f>36.25*12</f>
        <v>435</v>
      </c>
      <c r="K42" s="11">
        <f t="shared" si="9"/>
        <v>348</v>
      </c>
      <c r="L42" s="11">
        <v>439.9</v>
      </c>
      <c r="M42" s="11">
        <v>453.72</v>
      </c>
      <c r="N42" s="11">
        <v>499.08000000000004</v>
      </c>
      <c r="O42" s="11">
        <v>437.04</v>
      </c>
      <c r="P42" s="11">
        <v>520.20000000000005</v>
      </c>
      <c r="Q42" s="11">
        <v>505</v>
      </c>
      <c r="R42" s="11">
        <v>544.67999999999995</v>
      </c>
      <c r="S42" s="11">
        <v>491.8</v>
      </c>
      <c r="T42" s="11"/>
      <c r="U42" s="11"/>
    </row>
    <row r="43" spans="1:21" x14ac:dyDescent="0.25">
      <c r="A43" s="10">
        <v>3750</v>
      </c>
      <c r="B43" s="10">
        <v>4000</v>
      </c>
      <c r="C43" s="10" t="str">
        <f>IF(AND(Rekentool!$F$56&gt;=A43,Rekentool!$F$56&lt;B43),"Ja","Nee")</f>
        <v>Nee</v>
      </c>
      <c r="D43" s="10" t="str">
        <f>IF(Rekentool!$F$55&lt;=Rekentool!$F$56,IF(AND(Rekentool!$F$55&gt;=A43,Rekentool!$F$55&lt;B43),"Ja","Nee"),IF(AND(Rekentool!$F$56&gt;=A43,Rekentool!$F$56&lt;B43),"Ja","Nee"))</f>
        <v>Nee</v>
      </c>
      <c r="E43" s="11">
        <v>504</v>
      </c>
      <c r="F43" s="11">
        <v>503.76</v>
      </c>
      <c r="G43" s="11">
        <v>503.76</v>
      </c>
      <c r="H43" s="11">
        <v>544</v>
      </c>
      <c r="I43" s="11">
        <v>439.9</v>
      </c>
      <c r="J43" s="11">
        <f>38.75*12</f>
        <v>465</v>
      </c>
      <c r="K43" s="11">
        <f t="shared" si="9"/>
        <v>348</v>
      </c>
      <c r="L43" s="11">
        <v>439.9</v>
      </c>
      <c r="M43" s="11">
        <v>453.72</v>
      </c>
      <c r="N43" s="11">
        <v>499.08000000000004</v>
      </c>
      <c r="O43" s="11">
        <v>437.04</v>
      </c>
      <c r="P43" s="11">
        <v>600</v>
      </c>
      <c r="Q43" s="11">
        <v>505</v>
      </c>
      <c r="R43" s="11">
        <v>544.67999999999995</v>
      </c>
      <c r="S43" s="11">
        <v>491.8</v>
      </c>
      <c r="T43" s="11"/>
      <c r="U43" s="11"/>
    </row>
    <row r="44" spans="1:21" x14ac:dyDescent="0.25">
      <c r="A44" s="10">
        <v>4000</v>
      </c>
      <c r="B44" s="10">
        <v>4250</v>
      </c>
      <c r="C44" s="10" t="str">
        <f>IF(AND(Rekentool!$F$56&gt;=A44,Rekentool!$F$56&lt;B44),"Ja","Nee")</f>
        <v>Nee</v>
      </c>
      <c r="D44" s="10" t="str">
        <f>IF(Rekentool!$F$55&lt;=Rekentool!$F$56,IF(AND(Rekentool!$F$55&gt;=A44,Rekentool!$F$55&lt;B44),"Ja","Nee"),IF(AND(Rekentool!$F$56&gt;=A44,Rekentool!$F$56&lt;B44),"Ja","Nee"))</f>
        <v>Nee</v>
      </c>
      <c r="E44" s="11">
        <v>576</v>
      </c>
      <c r="F44" s="11">
        <v>536.28</v>
      </c>
      <c r="G44" s="11">
        <v>536.28</v>
      </c>
      <c r="H44" s="11">
        <v>617</v>
      </c>
      <c r="I44" s="11">
        <v>624.88</v>
      </c>
      <c r="J44" s="11">
        <f>38.75*12</f>
        <v>465</v>
      </c>
      <c r="K44" s="11">
        <f>37.5*12</f>
        <v>450</v>
      </c>
      <c r="L44" s="11">
        <v>624.88</v>
      </c>
      <c r="M44" s="11">
        <v>514.20000000000005</v>
      </c>
      <c r="N44" s="11">
        <v>565.56000000000006</v>
      </c>
      <c r="O44" s="11">
        <v>494.55</v>
      </c>
      <c r="P44" s="11">
        <v>600</v>
      </c>
      <c r="Q44" s="11">
        <v>570</v>
      </c>
      <c r="R44" s="11">
        <v>708</v>
      </c>
      <c r="S44" s="11">
        <v>550.1</v>
      </c>
      <c r="T44" s="11"/>
      <c r="U44" s="11"/>
    </row>
    <row r="45" spans="1:21" x14ac:dyDescent="0.25">
      <c r="A45" s="10">
        <v>4250</v>
      </c>
      <c r="B45" s="10">
        <v>4500</v>
      </c>
      <c r="C45" s="10" t="str">
        <f>IF(AND(Rekentool!$F$56&gt;=A45,Rekentool!$F$56&lt;B45),"Ja","Nee")</f>
        <v>Nee</v>
      </c>
      <c r="D45" s="10" t="str">
        <f>IF(Rekentool!$F$55&lt;=Rekentool!$F$56,IF(AND(Rekentool!$F$55&gt;=A45,Rekentool!$F$55&lt;B45),"Ja","Nee"),IF(AND(Rekentool!$F$56&gt;=A45,Rekentool!$F$56&lt;B45),"Ja","Nee"))</f>
        <v>Nee</v>
      </c>
      <c r="E45" s="11">
        <v>576</v>
      </c>
      <c r="F45" s="11">
        <v>568.79999999999995</v>
      </c>
      <c r="G45" s="11">
        <v>568.79999999999995</v>
      </c>
      <c r="H45" s="11">
        <v>617</v>
      </c>
      <c r="I45" s="11">
        <v>624.88</v>
      </c>
      <c r="J45" s="11">
        <f>43.75*12</f>
        <v>525</v>
      </c>
      <c r="K45" s="11">
        <f t="shared" ref="K45:K47" si="10">37.5*12</f>
        <v>450</v>
      </c>
      <c r="L45" s="11">
        <v>624.88</v>
      </c>
      <c r="M45" s="11">
        <v>514.20000000000005</v>
      </c>
      <c r="N45" s="11">
        <v>565.56000000000006</v>
      </c>
      <c r="O45" s="11">
        <v>494.55</v>
      </c>
      <c r="P45" s="11">
        <v>640.20000000000005</v>
      </c>
      <c r="Q45" s="11">
        <v>570</v>
      </c>
      <c r="R45" s="11">
        <v>708</v>
      </c>
      <c r="S45" s="11">
        <v>550.1</v>
      </c>
      <c r="T45" s="11"/>
      <c r="U45" s="11"/>
    </row>
    <row r="46" spans="1:21" x14ac:dyDescent="0.25">
      <c r="A46" s="10">
        <v>4500</v>
      </c>
      <c r="B46" s="10">
        <v>4750</v>
      </c>
      <c r="C46" s="10" t="str">
        <f>IF(AND(Rekentool!$F$56&gt;=A46,Rekentool!$F$56&lt;B46),"Ja","Nee")</f>
        <v>Nee</v>
      </c>
      <c r="D46" s="10" t="str">
        <f>IF(Rekentool!$F$55&lt;=Rekentool!$F$56,IF(AND(Rekentool!$F$55&gt;=A46,Rekentool!$F$55&lt;B46),"Ja","Nee"),IF(AND(Rekentool!$F$56&gt;=A46,Rekentool!$F$56&lt;B46),"Ja","Nee"))</f>
        <v>Nee</v>
      </c>
      <c r="E46" s="11">
        <v>642</v>
      </c>
      <c r="F46" s="11">
        <v>601.31999999999994</v>
      </c>
      <c r="G46" s="11">
        <v>601.31999999999994</v>
      </c>
      <c r="H46" s="11">
        <v>689</v>
      </c>
      <c r="I46" s="11">
        <v>624.88</v>
      </c>
      <c r="J46" s="11">
        <f>43.75*12</f>
        <v>525</v>
      </c>
      <c r="K46" s="11">
        <f t="shared" si="10"/>
        <v>450</v>
      </c>
      <c r="L46" s="11">
        <v>624.88</v>
      </c>
      <c r="M46" s="11">
        <v>574.79999999999995</v>
      </c>
      <c r="N46" s="11">
        <v>632.16</v>
      </c>
      <c r="O46" s="11">
        <v>494.55</v>
      </c>
      <c r="P46" s="11">
        <v>640.20000000000005</v>
      </c>
      <c r="Q46" s="11">
        <v>635</v>
      </c>
      <c r="R46" s="11">
        <v>708</v>
      </c>
      <c r="S46" s="11">
        <v>614.79999999999995</v>
      </c>
      <c r="T46" s="11"/>
      <c r="U46" s="11"/>
    </row>
    <row r="47" spans="1:21" x14ac:dyDescent="0.25">
      <c r="A47" s="10">
        <v>4750</v>
      </c>
      <c r="B47" s="10">
        <v>5000</v>
      </c>
      <c r="C47" s="10" t="str">
        <f>IF(AND(Rekentool!$F$56&gt;=A47,Rekentool!$F$56&lt;B47),"Ja","Nee")</f>
        <v>Nee</v>
      </c>
      <c r="D47" s="10" t="str">
        <f>IF(Rekentool!$F$55&lt;=Rekentool!$F$56,IF(AND(Rekentool!$F$55&gt;=A47,Rekentool!$F$55&lt;B47),"Ja","Nee"),IF(AND(Rekentool!$F$56&gt;=A47,Rekentool!$F$56&lt;B47),"Ja","Nee"))</f>
        <v>Nee</v>
      </c>
      <c r="E47" s="11">
        <v>642</v>
      </c>
      <c r="F47" s="11">
        <f>52.82*12</f>
        <v>633.84</v>
      </c>
      <c r="G47" s="11">
        <v>633.84</v>
      </c>
      <c r="H47" s="11">
        <v>689</v>
      </c>
      <c r="I47" s="11">
        <v>624.88</v>
      </c>
      <c r="J47" s="11">
        <f>48.75*12</f>
        <v>585</v>
      </c>
      <c r="K47" s="11">
        <f t="shared" si="10"/>
        <v>450</v>
      </c>
      <c r="L47" s="11">
        <v>624.88</v>
      </c>
      <c r="M47" s="11">
        <v>574.79999999999995</v>
      </c>
      <c r="N47" s="11">
        <v>632.16</v>
      </c>
      <c r="O47" s="11">
        <v>494.55</v>
      </c>
      <c r="P47" s="11">
        <v>718.8</v>
      </c>
      <c r="Q47" s="11">
        <v>635</v>
      </c>
      <c r="R47" s="11">
        <v>708</v>
      </c>
      <c r="S47" s="11">
        <v>614.79999999999995</v>
      </c>
      <c r="T47" s="11"/>
      <c r="U47" s="11"/>
    </row>
    <row r="48" spans="1:21" x14ac:dyDescent="0.25">
      <c r="A48" s="10">
        <v>5000</v>
      </c>
      <c r="B48" s="10">
        <v>5250</v>
      </c>
      <c r="C48" s="10" t="str">
        <f>IF(AND(Rekentool!$F$56&gt;=A48,Rekentool!$F$56&lt;B48),"Ja","Nee")</f>
        <v>Nee</v>
      </c>
      <c r="D48" s="10" t="str">
        <f>IF(Rekentool!$F$55&lt;=Rekentool!$F$56,IF(AND(Rekentool!$F$55&gt;=A48,Rekentool!$F$55&lt;B48),"Ja","Nee"),IF(AND(Rekentool!$F$56&gt;=A48,Rekentool!$F$56&lt;B48),"Ja","Nee"))</f>
        <v>Nee</v>
      </c>
      <c r="E48" s="11">
        <v>702</v>
      </c>
      <c r="F48" s="11">
        <v>666.12</v>
      </c>
      <c r="G48" s="11">
        <v>666.12</v>
      </c>
      <c r="H48" s="11">
        <v>762</v>
      </c>
      <c r="I48" s="11">
        <v>1087.3499999999999</v>
      </c>
      <c r="J48" s="11">
        <f>48.75*12</f>
        <v>585</v>
      </c>
      <c r="K48" s="11">
        <f>55*12</f>
        <v>660</v>
      </c>
      <c r="L48" s="11">
        <v>1087.3499999999999</v>
      </c>
      <c r="M48" s="11">
        <v>635.28</v>
      </c>
      <c r="N48" s="11">
        <v>698.76</v>
      </c>
      <c r="O48" s="11">
        <v>1050.6199999999999</v>
      </c>
      <c r="P48" s="11">
        <v>718.8</v>
      </c>
      <c r="Q48" s="11">
        <v>735</v>
      </c>
      <c r="R48" s="11">
        <v>960.6</v>
      </c>
      <c r="S48" s="11">
        <v>711.9</v>
      </c>
      <c r="T48" s="11"/>
      <c r="U48" s="11"/>
    </row>
    <row r="49" spans="1:22" x14ac:dyDescent="0.25">
      <c r="A49" s="10">
        <v>5250</v>
      </c>
      <c r="B49" s="10">
        <v>5500</v>
      </c>
      <c r="C49" s="10" t="str">
        <f>IF(AND(Rekentool!$F$56&gt;=A49,Rekentool!$F$56&lt;B49),"Ja","Nee")</f>
        <v>Nee</v>
      </c>
      <c r="D49" s="10" t="str">
        <f>IF(Rekentool!$F$55&lt;=Rekentool!$F$56,IF(AND(Rekentool!$F$55&gt;=A49,Rekentool!$F$55&lt;B49),"Ja","Nee"),IF(AND(Rekentool!$F$56&gt;=A49,Rekentool!$F$56&lt;B49),"Ja","Nee"))</f>
        <v>Nee</v>
      </c>
      <c r="E49" s="11">
        <v>702</v>
      </c>
      <c r="F49" s="11">
        <v>698.76</v>
      </c>
      <c r="G49" s="11">
        <v>698.76</v>
      </c>
      <c r="H49" s="11">
        <v>762</v>
      </c>
      <c r="I49" s="11">
        <v>1087.3499999999999</v>
      </c>
      <c r="J49" s="11">
        <f>53.75*12</f>
        <v>645</v>
      </c>
      <c r="K49" s="11">
        <f t="shared" ref="K49:K113" si="11">55*12</f>
        <v>660</v>
      </c>
      <c r="L49" s="11">
        <v>1087.3499999999999</v>
      </c>
      <c r="M49" s="11">
        <v>635.28</v>
      </c>
      <c r="N49" s="11">
        <v>698.76</v>
      </c>
      <c r="O49" s="11">
        <v>1050.6199999999999</v>
      </c>
      <c r="P49" s="11">
        <v>797.4</v>
      </c>
      <c r="Q49" s="11">
        <v>735</v>
      </c>
      <c r="R49" s="11">
        <v>960.6</v>
      </c>
      <c r="S49" s="11">
        <v>711.9</v>
      </c>
      <c r="T49" s="11"/>
      <c r="U49" s="11"/>
    </row>
    <row r="50" spans="1:22" x14ac:dyDescent="0.25">
      <c r="A50" s="10">
        <v>5500</v>
      </c>
      <c r="B50" s="10">
        <v>5750</v>
      </c>
      <c r="C50" s="10" t="str">
        <f>IF(AND(Rekentool!$F$56&gt;=A50,Rekentool!$F$56&lt;B50),"Ja","Nee")</f>
        <v>Nee</v>
      </c>
      <c r="D50" s="10" t="str">
        <f>IF(Rekentool!$F$55&lt;=Rekentool!$F$56,IF(AND(Rekentool!$F$55&gt;=A50,Rekentool!$F$55&lt;B50),"Ja","Nee"),IF(AND(Rekentool!$F$56&gt;=A50,Rekentool!$F$56&lt;B50),"Ja","Nee"))</f>
        <v>Nee</v>
      </c>
      <c r="E50" s="11">
        <v>702</v>
      </c>
      <c r="F50" s="11">
        <v>731.28</v>
      </c>
      <c r="G50" s="11">
        <v>731.28</v>
      </c>
      <c r="H50" s="11">
        <v>834</v>
      </c>
      <c r="I50" s="11">
        <v>1087.3499999999999</v>
      </c>
      <c r="J50" s="11">
        <f>56.25*12</f>
        <v>675</v>
      </c>
      <c r="K50" s="11">
        <f t="shared" si="11"/>
        <v>660</v>
      </c>
      <c r="L50" s="11">
        <v>1087.3499999999999</v>
      </c>
      <c r="M50" s="11">
        <v>695.76</v>
      </c>
      <c r="N50" s="11">
        <v>765.24</v>
      </c>
      <c r="O50" s="11">
        <v>1050.6199999999999</v>
      </c>
      <c r="P50" s="11">
        <v>836.4</v>
      </c>
      <c r="Q50" s="11">
        <v>735</v>
      </c>
      <c r="R50" s="11">
        <v>960.6</v>
      </c>
      <c r="S50" s="11">
        <v>711.9</v>
      </c>
      <c r="T50" s="11"/>
      <c r="U50" s="11"/>
      <c r="V50" s="19"/>
    </row>
    <row r="51" spans="1:22" x14ac:dyDescent="0.25">
      <c r="A51" s="10">
        <v>5750</v>
      </c>
      <c r="B51" s="10">
        <v>6000</v>
      </c>
      <c r="C51" s="10" t="str">
        <f>IF(AND(Rekentool!$F$56&gt;=A51,Rekentool!$F$56&lt;B51),"Ja","Nee")</f>
        <v>Nee</v>
      </c>
      <c r="D51" s="10" t="str">
        <f>IF(Rekentool!$F$55&lt;=Rekentool!$F$56,IF(AND(Rekentool!$F$55&gt;=A51,Rekentool!$F$55&lt;B51),"Ja","Nee"),IF(AND(Rekentool!$F$56&gt;=A51,Rekentool!$F$56&lt;B51),"Ja","Nee"))</f>
        <v>Nee</v>
      </c>
      <c r="E51" s="11">
        <v>840</v>
      </c>
      <c r="F51" s="11">
        <v>763.8</v>
      </c>
      <c r="G51" s="11">
        <v>763.8</v>
      </c>
      <c r="H51" s="11">
        <v>834</v>
      </c>
      <c r="I51" s="11">
        <v>1087.3499999999999</v>
      </c>
      <c r="J51" s="11">
        <f>58.75*12</f>
        <v>705</v>
      </c>
      <c r="K51" s="11">
        <f t="shared" si="11"/>
        <v>660</v>
      </c>
      <c r="L51" s="11">
        <v>1087.3499999999999</v>
      </c>
      <c r="M51" s="11">
        <v>695.76</v>
      </c>
      <c r="N51" s="11">
        <v>765.24</v>
      </c>
      <c r="O51" s="11">
        <v>1050.6199999999999</v>
      </c>
      <c r="P51" s="11">
        <v>875.4</v>
      </c>
      <c r="Q51" s="11">
        <v>735</v>
      </c>
      <c r="R51" s="11">
        <v>960.6</v>
      </c>
      <c r="S51" s="11">
        <v>711.9</v>
      </c>
      <c r="T51" s="11"/>
      <c r="U51" s="11"/>
    </row>
    <row r="52" spans="1:22" x14ac:dyDescent="0.25">
      <c r="A52" s="10">
        <v>6000</v>
      </c>
      <c r="B52" s="10">
        <v>6250</v>
      </c>
      <c r="C52" s="10" t="str">
        <f>IF(AND(Rekentool!$F$56&gt;=A52,Rekentool!$F$56&lt;B52),"Ja","Nee")</f>
        <v>Nee</v>
      </c>
      <c r="D52" s="10" t="str">
        <f>IF(Rekentool!$F$55&lt;=Rekentool!$F$56,IF(AND(Rekentool!$F$55&gt;=A52,Rekentool!$F$55&lt;B52),"Ja","Nee"),IF(AND(Rekentool!$F$56&gt;=A52,Rekentool!$F$56&lt;B52),"Ja","Nee"))</f>
        <v>Nee</v>
      </c>
      <c r="E52" s="11">
        <v>840</v>
      </c>
      <c r="F52" s="11">
        <f>66.36*12</f>
        <v>796.31999999999994</v>
      </c>
      <c r="G52" s="11">
        <f>66.36*12</f>
        <v>796.31999999999994</v>
      </c>
      <c r="H52" s="11">
        <v>907</v>
      </c>
      <c r="I52" s="11">
        <v>1087.3499999999999</v>
      </c>
      <c r="J52" s="11">
        <f>61.25*12</f>
        <v>735</v>
      </c>
      <c r="K52" s="11">
        <f t="shared" si="11"/>
        <v>660</v>
      </c>
      <c r="L52" s="11">
        <v>1087.3499999999999</v>
      </c>
      <c r="M52" s="11">
        <v>756.24</v>
      </c>
      <c r="N52" s="11">
        <v>831.83999999999992</v>
      </c>
      <c r="O52" s="11">
        <v>1238.23</v>
      </c>
      <c r="P52" s="11">
        <v>915</v>
      </c>
      <c r="Q52" s="11">
        <v>870</v>
      </c>
      <c r="R52" s="11">
        <v>960.6</v>
      </c>
      <c r="S52" s="11">
        <v>873.7</v>
      </c>
      <c r="T52" s="11"/>
      <c r="U52" s="11"/>
      <c r="V52" s="19"/>
    </row>
    <row r="53" spans="1:22" x14ac:dyDescent="0.25">
      <c r="A53" s="10">
        <v>6250</v>
      </c>
      <c r="B53" s="10">
        <v>6500</v>
      </c>
      <c r="C53" s="10" t="str">
        <f>IF(AND(Rekentool!$F$56&gt;=A53,Rekentool!$F$56&lt;B53),"Ja","Nee")</f>
        <v>Nee</v>
      </c>
      <c r="D53" s="10" t="str">
        <f>IF(Rekentool!$F$55&lt;=Rekentool!$F$56,IF(AND(Rekentool!$F$55&gt;=A53,Rekentool!$F$55&lt;B53),"Ja","Nee"),IF(AND(Rekentool!$F$56&gt;=A53,Rekentool!$F$56&lt;B53),"Ja","Nee"))</f>
        <v>Nee</v>
      </c>
      <c r="E53" s="11">
        <v>840</v>
      </c>
      <c r="F53" s="11">
        <f>69.07*12</f>
        <v>828.83999999999992</v>
      </c>
      <c r="G53" s="11">
        <f>69.07*12</f>
        <v>828.83999999999992</v>
      </c>
      <c r="H53" s="11">
        <v>907</v>
      </c>
      <c r="I53" s="11">
        <v>1087.3499999999999</v>
      </c>
      <c r="J53" s="11">
        <f>63.75*12</f>
        <v>765</v>
      </c>
      <c r="K53" s="11">
        <f t="shared" si="11"/>
        <v>660</v>
      </c>
      <c r="L53" s="11">
        <v>1087.3499999999999</v>
      </c>
      <c r="M53" s="11">
        <v>756.24</v>
      </c>
      <c r="N53" s="11">
        <v>831.83999999999992</v>
      </c>
      <c r="O53" s="11">
        <v>1238.23</v>
      </c>
      <c r="P53" s="11">
        <v>954</v>
      </c>
      <c r="Q53" s="11">
        <v>870</v>
      </c>
      <c r="R53" s="11">
        <v>960.6</v>
      </c>
      <c r="S53" s="11">
        <v>873.7</v>
      </c>
      <c r="T53" s="11"/>
      <c r="U53" s="11"/>
      <c r="V53" s="19"/>
    </row>
    <row r="54" spans="1:22" x14ac:dyDescent="0.25">
      <c r="A54" s="10">
        <v>6500</v>
      </c>
      <c r="B54" s="10">
        <v>6750</v>
      </c>
      <c r="C54" s="10" t="str">
        <f>IF(AND(Rekentool!$F$56&gt;=A54,Rekentool!$F$56&lt;B54),"Ja","Nee")</f>
        <v>Nee</v>
      </c>
      <c r="D54" s="10" t="str">
        <f>IF(Rekentool!$F$55&lt;=Rekentool!$F$56,IF(AND(Rekentool!$F$55&gt;=A54,Rekentool!$F$55&lt;B54),"Ja","Nee"),IF(AND(Rekentool!$F$56&gt;=A54,Rekentool!$F$56&lt;B54),"Ja","Nee"))</f>
        <v>Nee</v>
      </c>
      <c r="E54" s="11">
        <v>924</v>
      </c>
      <c r="F54" s="11">
        <f>71.77*12</f>
        <v>861.24</v>
      </c>
      <c r="G54" s="11">
        <f>71.77*12</f>
        <v>861.24</v>
      </c>
      <c r="H54" s="11">
        <v>980</v>
      </c>
      <c r="I54" s="11">
        <v>1087.3499999999999</v>
      </c>
      <c r="J54" s="11">
        <f>66.25*12</f>
        <v>795</v>
      </c>
      <c r="K54" s="11">
        <f t="shared" si="11"/>
        <v>660</v>
      </c>
      <c r="L54" s="11">
        <v>1087.3499999999999</v>
      </c>
      <c r="M54" s="11">
        <v>816.72</v>
      </c>
      <c r="N54" s="11">
        <v>898.31999999999994</v>
      </c>
      <c r="O54" s="11">
        <v>1238.23</v>
      </c>
      <c r="P54" s="11">
        <v>1003.2</v>
      </c>
      <c r="Q54" s="11">
        <v>870</v>
      </c>
      <c r="R54" s="11">
        <v>960.6</v>
      </c>
      <c r="S54" s="11">
        <v>873.7</v>
      </c>
      <c r="T54" s="11"/>
      <c r="U54" s="11"/>
    </row>
    <row r="55" spans="1:22" x14ac:dyDescent="0.25">
      <c r="A55" s="10">
        <v>6750</v>
      </c>
      <c r="B55" s="10">
        <v>7000</v>
      </c>
      <c r="C55" s="10" t="str">
        <f>IF(AND(Rekentool!$F$56&gt;=A55,Rekentool!$F$56&lt;B55),"Ja","Nee")</f>
        <v>Nee</v>
      </c>
      <c r="D55" s="10" t="str">
        <f>IF(Rekentool!$F$55&lt;=Rekentool!$F$56,IF(AND(Rekentool!$F$55&gt;=A55,Rekentool!$F$55&lt;B55),"Ja","Nee"),IF(AND(Rekentool!$F$56&gt;=A55,Rekentool!$F$56&lt;B55),"Ja","Nee"))</f>
        <v>Nee</v>
      </c>
      <c r="E55" s="11">
        <v>924</v>
      </c>
      <c r="F55" s="11">
        <f>74.48*12</f>
        <v>893.76</v>
      </c>
      <c r="G55" s="11">
        <f>74.48*12</f>
        <v>893.76</v>
      </c>
      <c r="H55" s="11">
        <v>980</v>
      </c>
      <c r="I55" s="11">
        <v>1087.3499999999999</v>
      </c>
      <c r="J55" s="11">
        <f>68.75*12</f>
        <v>825</v>
      </c>
      <c r="K55" s="11">
        <f t="shared" si="11"/>
        <v>660</v>
      </c>
      <c r="L55" s="11">
        <v>1087.3499999999999</v>
      </c>
      <c r="M55" s="11">
        <v>816.72</v>
      </c>
      <c r="N55" s="11">
        <v>898.31999999999994</v>
      </c>
      <c r="O55" s="11">
        <v>1238.23</v>
      </c>
      <c r="P55" s="11">
        <v>1061.4000000000001</v>
      </c>
      <c r="Q55" s="11">
        <v>870</v>
      </c>
      <c r="R55" s="11">
        <v>960.6</v>
      </c>
      <c r="S55" s="11">
        <v>873.7</v>
      </c>
      <c r="T55" s="11"/>
      <c r="U55" s="11"/>
      <c r="V55" s="19"/>
    </row>
    <row r="56" spans="1:22" x14ac:dyDescent="0.25">
      <c r="A56" s="10">
        <v>7000</v>
      </c>
      <c r="B56" s="10">
        <v>7250</v>
      </c>
      <c r="C56" s="10" t="str">
        <f>IF(AND(Rekentool!$F$56&gt;=A56,Rekentool!$F$56&lt;B56),"Ja","Nee")</f>
        <v>Nee</v>
      </c>
      <c r="D56" s="10" t="str">
        <f>IF(Rekentool!$F$55&lt;=Rekentool!$F$56,IF(AND(Rekentool!$F$55&gt;=A56,Rekentool!$F$55&lt;B56),"Ja","Nee"),IF(AND(Rekentool!$F$56&gt;=A56,Rekentool!$F$56&lt;B56),"Ja","Nee"))</f>
        <v>Nee</v>
      </c>
      <c r="E56" s="11">
        <v>972</v>
      </c>
      <c r="F56" s="11">
        <f>77.19*12</f>
        <v>926.28</v>
      </c>
      <c r="G56" s="11">
        <f>77.19*12</f>
        <v>926.28</v>
      </c>
      <c r="H56" s="11">
        <v>1052</v>
      </c>
      <c r="I56" s="11">
        <v>1087.3499999999999</v>
      </c>
      <c r="J56" s="11">
        <f>71.25*12</f>
        <v>855</v>
      </c>
      <c r="K56" s="11">
        <f t="shared" si="11"/>
        <v>660</v>
      </c>
      <c r="L56" s="11">
        <v>1087.3499999999999</v>
      </c>
      <c r="M56" s="11">
        <v>877.19999999999993</v>
      </c>
      <c r="N56" s="11">
        <v>964.92</v>
      </c>
      <c r="O56" s="11">
        <v>1425.84</v>
      </c>
      <c r="P56" s="11">
        <v>1119.5999999999999</v>
      </c>
      <c r="Q56" s="11">
        <v>1005</v>
      </c>
      <c r="R56" s="11">
        <v>960.6</v>
      </c>
      <c r="S56" s="11">
        <v>873.7</v>
      </c>
      <c r="T56" s="11"/>
      <c r="U56" s="11"/>
      <c r="V56" s="19"/>
    </row>
    <row r="57" spans="1:22" x14ac:dyDescent="0.25">
      <c r="A57" s="10">
        <v>7250</v>
      </c>
      <c r="B57" s="10">
        <v>7500</v>
      </c>
      <c r="C57" s="10" t="str">
        <f>IF(AND(Rekentool!$F$56&gt;=A57,Rekentool!$F$56&lt;B57),"Ja","Nee")</f>
        <v>Nee</v>
      </c>
      <c r="D57" s="10" t="str">
        <f>IF(Rekentool!$F$55&lt;=Rekentool!$F$56,IF(AND(Rekentool!$F$55&gt;=A57,Rekentool!$F$55&lt;B57),"Ja","Nee"),IF(AND(Rekentool!$F$56&gt;=A57,Rekentool!$F$56&lt;B57),"Ja","Nee"))</f>
        <v>Nee</v>
      </c>
      <c r="E57" s="11">
        <v>972</v>
      </c>
      <c r="F57" s="11">
        <f>79.9*12</f>
        <v>958.80000000000007</v>
      </c>
      <c r="G57" s="11">
        <f>79.9*12</f>
        <v>958.80000000000007</v>
      </c>
      <c r="H57" s="11">
        <v>1052</v>
      </c>
      <c r="I57" s="11">
        <v>1087.3499999999999</v>
      </c>
      <c r="J57" s="11">
        <f>73.75*12</f>
        <v>885</v>
      </c>
      <c r="K57" s="11">
        <f t="shared" si="11"/>
        <v>660</v>
      </c>
      <c r="L57" s="11">
        <v>1087.3499999999999</v>
      </c>
      <c r="M57" s="11">
        <v>877.19999999999993</v>
      </c>
      <c r="N57" s="11">
        <v>964.92</v>
      </c>
      <c r="O57" s="11">
        <v>1425.84</v>
      </c>
      <c r="P57" s="11">
        <v>1178.4000000000001</v>
      </c>
      <c r="Q57" s="11">
        <v>1005</v>
      </c>
      <c r="R57" s="11">
        <v>960.6</v>
      </c>
      <c r="S57" s="11">
        <v>873.7</v>
      </c>
      <c r="T57" s="11"/>
      <c r="U57" s="11"/>
    </row>
    <row r="58" spans="1:22" x14ac:dyDescent="0.25">
      <c r="A58" s="10">
        <v>7500</v>
      </c>
      <c r="B58" s="10">
        <v>7750</v>
      </c>
      <c r="C58" s="10" t="str">
        <f>IF(AND(Rekentool!$F$56&gt;=A58,Rekentool!$F$56&lt;B58),"Ja","Nee")</f>
        <v>Nee</v>
      </c>
      <c r="D58" s="10" t="str">
        <f>IF(Rekentool!$F$55&lt;=Rekentool!$F$56,IF(AND(Rekentool!$F$55&gt;=A58,Rekentool!$F$55&lt;B58),"Ja","Nee"),IF(AND(Rekentool!$F$56&gt;=A58,Rekentool!$F$56&lt;B58),"Ja","Nee"))</f>
        <v>Nee</v>
      </c>
      <c r="E58" s="11">
        <v>972</v>
      </c>
      <c r="F58" s="11">
        <f>82.61*12</f>
        <v>991.31999999999994</v>
      </c>
      <c r="G58" s="11">
        <f>82.61*12</f>
        <v>991.31999999999994</v>
      </c>
      <c r="H58" s="11">
        <v>1125</v>
      </c>
      <c r="I58" s="11">
        <v>1499.86</v>
      </c>
      <c r="J58" s="11">
        <f>76.25*12</f>
        <v>915</v>
      </c>
      <c r="K58" s="11">
        <f t="shared" si="11"/>
        <v>660</v>
      </c>
      <c r="L58" s="11">
        <v>1499.86</v>
      </c>
      <c r="M58" s="11">
        <v>937.80000000000007</v>
      </c>
      <c r="N58" s="11">
        <v>1031.4000000000001</v>
      </c>
      <c r="O58" s="11">
        <v>1425.84</v>
      </c>
      <c r="P58" s="11">
        <v>1236.5999999999999</v>
      </c>
      <c r="Q58" s="11">
        <v>1005</v>
      </c>
      <c r="R58" s="11">
        <v>1332.96</v>
      </c>
      <c r="S58" s="11">
        <v>1124.5</v>
      </c>
      <c r="T58" s="11"/>
      <c r="U58" s="11"/>
      <c r="V58" s="19"/>
    </row>
    <row r="59" spans="1:22" x14ac:dyDescent="0.25">
      <c r="A59" s="10">
        <v>7750</v>
      </c>
      <c r="B59" s="10">
        <v>8000</v>
      </c>
      <c r="C59" s="10" t="str">
        <f>IF(AND(Rekentool!$F$56&gt;=A59,Rekentool!$F$56&lt;B59),"Ja","Nee")</f>
        <v>Nee</v>
      </c>
      <c r="D59" s="10" t="str">
        <f>IF(Rekentool!$F$55&lt;=Rekentool!$F$56,IF(AND(Rekentool!$F$55&gt;=A59,Rekentool!$F$55&lt;B59),"Ja","Nee"),IF(AND(Rekentool!$F$56&gt;=A59,Rekentool!$F$56&lt;B59),"Ja","Nee"))</f>
        <v>Nee</v>
      </c>
      <c r="E59" s="11">
        <v>972</v>
      </c>
      <c r="F59" s="11">
        <f>85.32*12</f>
        <v>1023.8399999999999</v>
      </c>
      <c r="G59" s="11">
        <f>85.32*12</f>
        <v>1023.8399999999999</v>
      </c>
      <c r="H59" s="11">
        <v>1125</v>
      </c>
      <c r="I59" s="11">
        <v>1499.86</v>
      </c>
      <c r="J59" s="11">
        <f>78.75*12</f>
        <v>945</v>
      </c>
      <c r="K59" s="11">
        <f t="shared" si="11"/>
        <v>660</v>
      </c>
      <c r="L59" s="11">
        <v>1499.86</v>
      </c>
      <c r="M59" s="11">
        <v>937.80000000000007</v>
      </c>
      <c r="N59" s="11">
        <v>1031.4000000000001</v>
      </c>
      <c r="O59" s="11">
        <v>1425.84</v>
      </c>
      <c r="P59" s="11">
        <v>1294.8</v>
      </c>
      <c r="Q59" s="11">
        <v>1005</v>
      </c>
      <c r="R59" s="11">
        <v>1332.96</v>
      </c>
      <c r="S59" s="11">
        <v>1124.5</v>
      </c>
      <c r="T59" s="11"/>
      <c r="U59" s="11"/>
    </row>
    <row r="60" spans="1:22" x14ac:dyDescent="0.25">
      <c r="A60" s="10">
        <v>8000</v>
      </c>
      <c r="B60" s="10">
        <v>8250</v>
      </c>
      <c r="C60" s="10" t="str">
        <f>IF(AND(Rekentool!$F$56&gt;=A60,Rekentool!$F$56&lt;B60),"Ja","Nee")</f>
        <v>Nee</v>
      </c>
      <c r="D60" s="10" t="str">
        <f>IF(Rekentool!$F$55&lt;=Rekentool!$F$56,IF(AND(Rekentool!$F$55&gt;=A60,Rekentool!$F$55&lt;B60),"Ja","Nee"),IF(AND(Rekentool!$F$56&gt;=A60,Rekentool!$F$56&lt;B60),"Ja","Nee"))</f>
        <v>Nee</v>
      </c>
      <c r="E60" s="11">
        <v>1116</v>
      </c>
      <c r="F60" s="11">
        <f>88.02*12</f>
        <v>1056.24</v>
      </c>
      <c r="G60" s="11">
        <f>88.02*12</f>
        <v>1056.24</v>
      </c>
      <c r="H60" s="11">
        <v>1197</v>
      </c>
      <c r="I60" s="11">
        <v>1499.86</v>
      </c>
      <c r="J60" s="11">
        <f>81.25*12</f>
        <v>975</v>
      </c>
      <c r="K60" s="11">
        <f t="shared" si="11"/>
        <v>660</v>
      </c>
      <c r="L60" s="11">
        <v>1499.86</v>
      </c>
      <c r="M60" s="11">
        <v>998.28</v>
      </c>
      <c r="N60" s="11">
        <v>1098</v>
      </c>
      <c r="O60" s="11">
        <v>1613.45</v>
      </c>
      <c r="P60" s="11">
        <v>1353</v>
      </c>
      <c r="Q60" s="11">
        <v>1140</v>
      </c>
      <c r="R60" s="11">
        <v>1332.96</v>
      </c>
      <c r="S60" s="11">
        <v>1124.5</v>
      </c>
      <c r="T60" s="11"/>
      <c r="U60" s="11"/>
    </row>
    <row r="61" spans="1:22" x14ac:dyDescent="0.25">
      <c r="A61" s="10">
        <v>8250</v>
      </c>
      <c r="B61" s="10">
        <v>8500</v>
      </c>
      <c r="C61" s="10" t="str">
        <f>IF(AND(Rekentool!$F$56&gt;=A61,Rekentool!$F$56&lt;B61),"Ja","Nee")</f>
        <v>Nee</v>
      </c>
      <c r="D61" s="10" t="str">
        <f>IF(Rekentool!$F$55&lt;=Rekentool!$F$56,IF(AND(Rekentool!$F$55&gt;=A61,Rekentool!$F$55&lt;B61),"Ja","Nee"),IF(AND(Rekentool!$F$56&gt;=A61,Rekentool!$F$56&lt;B61),"Ja","Nee"))</f>
        <v>Nee</v>
      </c>
      <c r="E61" s="11">
        <v>1116</v>
      </c>
      <c r="F61" s="11">
        <f>90.73*12</f>
        <v>1088.76</v>
      </c>
      <c r="G61" s="11">
        <f>90.73*12</f>
        <v>1088.76</v>
      </c>
      <c r="H61" s="11">
        <v>1197</v>
      </c>
      <c r="I61" s="11">
        <v>1499.86</v>
      </c>
      <c r="J61" s="11">
        <f>83.75*12</f>
        <v>1005</v>
      </c>
      <c r="K61" s="11">
        <f t="shared" si="11"/>
        <v>660</v>
      </c>
      <c r="L61" s="11">
        <v>1499.86</v>
      </c>
      <c r="M61" s="11">
        <v>998.28</v>
      </c>
      <c r="N61" s="11">
        <v>1098</v>
      </c>
      <c r="O61" s="11">
        <v>1613.45</v>
      </c>
      <c r="P61" s="11">
        <v>1411.2</v>
      </c>
      <c r="Q61" s="11">
        <v>1140</v>
      </c>
      <c r="R61" s="11">
        <v>1332.96</v>
      </c>
      <c r="S61" s="11">
        <v>1124.5</v>
      </c>
      <c r="T61" s="11"/>
      <c r="U61" s="11"/>
    </row>
    <row r="62" spans="1:22" x14ac:dyDescent="0.25">
      <c r="A62" s="10">
        <v>8500</v>
      </c>
      <c r="B62" s="10">
        <v>8750</v>
      </c>
      <c r="C62" s="10" t="str">
        <f>IF(AND(Rekentool!$F$56&gt;=A62,Rekentool!$F$56&lt;B62),"Ja","Nee")</f>
        <v>Nee</v>
      </c>
      <c r="D62" s="10" t="str">
        <f>IF(Rekentool!$F$55&lt;=Rekentool!$F$56,IF(AND(Rekentool!$F$55&gt;=A62,Rekentool!$F$55&lt;B62),"Ja","Nee"),IF(AND(Rekentool!$F$56&gt;=A62,Rekentool!$F$56&lt;B62),"Ja","Nee"))</f>
        <v>Nee</v>
      </c>
      <c r="E62" s="11">
        <v>1116</v>
      </c>
      <c r="F62" s="11">
        <f>93.44*12</f>
        <v>1121.28</v>
      </c>
      <c r="G62" s="11">
        <f>93.44*12</f>
        <v>1121.28</v>
      </c>
      <c r="H62" s="11">
        <v>1270</v>
      </c>
      <c r="I62" s="11">
        <v>1499.86</v>
      </c>
      <c r="J62" s="11">
        <f>86.25*12</f>
        <v>1035</v>
      </c>
      <c r="K62" s="11">
        <f t="shared" si="11"/>
        <v>660</v>
      </c>
      <c r="L62" s="11">
        <v>1499.86</v>
      </c>
      <c r="M62" s="11">
        <v>1058.76</v>
      </c>
      <c r="N62" s="11">
        <v>1164.5999999999999</v>
      </c>
      <c r="O62" s="11">
        <v>1613.45</v>
      </c>
      <c r="P62" s="11">
        <v>1469.4</v>
      </c>
      <c r="Q62" s="11">
        <v>1140</v>
      </c>
      <c r="R62" s="11">
        <v>1332.96</v>
      </c>
      <c r="S62" s="11">
        <v>1124.5</v>
      </c>
      <c r="T62" s="11"/>
      <c r="U62" s="11"/>
    </row>
    <row r="63" spans="1:22" x14ac:dyDescent="0.25">
      <c r="A63" s="10">
        <v>8750</v>
      </c>
      <c r="B63" s="10">
        <v>9000</v>
      </c>
      <c r="C63" s="10" t="str">
        <f>IF(AND(Rekentool!$F$56&gt;=A63,Rekentool!$F$56&lt;B63),"Ja","Nee")</f>
        <v>Nee</v>
      </c>
      <c r="D63" s="10" t="str">
        <f>IF(Rekentool!$F$55&lt;=Rekentool!$F$56,IF(AND(Rekentool!$F$55&gt;=A63,Rekentool!$F$55&lt;B63),"Ja","Nee"),IF(AND(Rekentool!$F$56&gt;=A63,Rekentool!$F$56&lt;B63),"Ja","Nee"))</f>
        <v>Nee</v>
      </c>
      <c r="E63" s="11">
        <v>1116</v>
      </c>
      <c r="F63" s="11">
        <f>96.15*12</f>
        <v>1153.8000000000002</v>
      </c>
      <c r="G63" s="11">
        <f>96.15*12</f>
        <v>1153.8000000000002</v>
      </c>
      <c r="H63" s="11">
        <v>1270</v>
      </c>
      <c r="I63" s="11">
        <v>1499.86</v>
      </c>
      <c r="J63" s="11">
        <f>88.75*12</f>
        <v>1065</v>
      </c>
      <c r="K63" s="11">
        <f t="shared" si="11"/>
        <v>660</v>
      </c>
      <c r="L63" s="11">
        <v>1499.86</v>
      </c>
      <c r="M63" s="11">
        <v>1058.76</v>
      </c>
      <c r="N63" s="11">
        <v>1164.5999999999999</v>
      </c>
      <c r="O63" s="11">
        <v>1613.45</v>
      </c>
      <c r="P63" s="11">
        <v>1528.2</v>
      </c>
      <c r="Q63" s="11">
        <v>1140</v>
      </c>
      <c r="R63" s="11">
        <v>1332.96</v>
      </c>
      <c r="S63" s="11">
        <v>1124.5</v>
      </c>
      <c r="T63" s="11"/>
      <c r="U63" s="11"/>
    </row>
    <row r="64" spans="1:22" x14ac:dyDescent="0.25">
      <c r="A64" s="10">
        <v>9000</v>
      </c>
      <c r="B64" s="10">
        <v>9250</v>
      </c>
      <c r="C64" s="10" t="str">
        <f>IF(AND(Rekentool!$F$56&gt;=A64,Rekentool!$F$56&lt;B64),"Ja","Nee")</f>
        <v>Nee</v>
      </c>
      <c r="D64" s="10" t="str">
        <f>IF(Rekentool!$F$55&lt;=Rekentool!$F$56,IF(AND(Rekentool!$F$55&gt;=A64,Rekentool!$F$55&lt;B64),"Ja","Nee"),IF(AND(Rekentool!$F$56&gt;=A64,Rekentool!$F$56&lt;B64),"Ja","Nee"))</f>
        <v>Nee</v>
      </c>
      <c r="E64" s="11">
        <v>1224</v>
      </c>
      <c r="F64" s="11">
        <f>98.86*12</f>
        <v>1186.32</v>
      </c>
      <c r="G64" s="11">
        <f>98.86*12</f>
        <v>1186.32</v>
      </c>
      <c r="H64" s="11">
        <v>1343</v>
      </c>
      <c r="I64" s="11">
        <v>1499.86</v>
      </c>
      <c r="J64" s="11">
        <f>91.25*12</f>
        <v>1095</v>
      </c>
      <c r="K64" s="11">
        <f t="shared" si="11"/>
        <v>660</v>
      </c>
      <c r="L64" s="11">
        <v>1499.86</v>
      </c>
      <c r="M64" s="11">
        <v>1119.24</v>
      </c>
      <c r="N64" s="11">
        <v>1231.08</v>
      </c>
      <c r="O64" s="11">
        <v>1801.06</v>
      </c>
      <c r="P64" s="11">
        <v>1586.4</v>
      </c>
      <c r="Q64" s="11">
        <v>1275</v>
      </c>
      <c r="R64" s="11">
        <v>1332.96</v>
      </c>
      <c r="S64" s="11">
        <v>1124.5</v>
      </c>
      <c r="T64" s="11"/>
      <c r="U64" s="11"/>
    </row>
    <row r="65" spans="1:21" x14ac:dyDescent="0.25">
      <c r="A65" s="10">
        <v>9250</v>
      </c>
      <c r="B65" s="10">
        <v>9500</v>
      </c>
      <c r="C65" s="10" t="str">
        <f>IF(AND(Rekentool!$F$56&gt;=A65,Rekentool!$F$56&lt;B65),"Ja","Nee")</f>
        <v>Nee</v>
      </c>
      <c r="D65" s="10" t="str">
        <f>IF(Rekentool!$F$55&lt;=Rekentool!$F$56,IF(AND(Rekentool!$F$55&gt;=A65,Rekentool!$F$55&lt;B65),"Ja","Nee"),IF(AND(Rekentool!$F$56&gt;=A65,Rekentool!$F$56&lt;B65),"Ja","Nee"))</f>
        <v>Nee</v>
      </c>
      <c r="E65" s="11">
        <v>1224</v>
      </c>
      <c r="F65" s="11">
        <f>101.57*12</f>
        <v>1218.8399999999999</v>
      </c>
      <c r="G65" s="11">
        <f>101.57*12</f>
        <v>1218.8399999999999</v>
      </c>
      <c r="H65" s="11">
        <v>1343</v>
      </c>
      <c r="I65" s="11">
        <v>1499.86</v>
      </c>
      <c r="J65" s="11">
        <f>93.75*12</f>
        <v>1125</v>
      </c>
      <c r="K65" s="11">
        <f t="shared" si="11"/>
        <v>660</v>
      </c>
      <c r="L65" s="11">
        <v>1499.86</v>
      </c>
      <c r="M65" s="11">
        <v>1119.24</v>
      </c>
      <c r="N65" s="11">
        <v>1231.08</v>
      </c>
      <c r="O65" s="11">
        <v>1801.06</v>
      </c>
      <c r="P65" s="11">
        <v>1644.6</v>
      </c>
      <c r="Q65" s="11">
        <v>1275</v>
      </c>
      <c r="R65" s="11">
        <v>1332.96</v>
      </c>
      <c r="S65" s="11">
        <v>1124.5</v>
      </c>
      <c r="T65" s="11"/>
      <c r="U65" s="11"/>
    </row>
    <row r="66" spans="1:21" x14ac:dyDescent="0.25">
      <c r="A66" s="10">
        <v>9500</v>
      </c>
      <c r="B66" s="10">
        <v>9750</v>
      </c>
      <c r="C66" s="10" t="str">
        <f>IF(AND(Rekentool!$F$56&gt;=A66,Rekentool!$F$56&lt;B66),"Ja","Nee")</f>
        <v>Nee</v>
      </c>
      <c r="D66" s="10" t="str">
        <f>IF(Rekentool!$F$55&lt;=Rekentool!$F$56,IF(AND(Rekentool!$F$55&gt;=A66,Rekentool!$F$55&lt;B66),"Ja","Nee"),IF(AND(Rekentool!$F$56&gt;=A66,Rekentool!$F$56&lt;B66),"Ja","Nee"))</f>
        <v>Nee</v>
      </c>
      <c r="E66" s="11">
        <v>1344</v>
      </c>
      <c r="F66" s="11">
        <f>104.27*12</f>
        <v>1251.24</v>
      </c>
      <c r="G66" s="11">
        <f>104.27*12</f>
        <v>1251.24</v>
      </c>
      <c r="H66" s="11">
        <v>1415</v>
      </c>
      <c r="I66" s="11">
        <v>1499.86</v>
      </c>
      <c r="J66" s="11">
        <f>96.25*12</f>
        <v>1155</v>
      </c>
      <c r="K66" s="11">
        <f t="shared" si="11"/>
        <v>660</v>
      </c>
      <c r="L66" s="11">
        <v>1499.86</v>
      </c>
      <c r="M66" s="11">
        <v>1179.72</v>
      </c>
      <c r="N66" s="11">
        <v>1297.68</v>
      </c>
      <c r="O66" s="11">
        <v>1801.06</v>
      </c>
      <c r="P66" s="11">
        <v>1702.8</v>
      </c>
      <c r="Q66" s="11">
        <v>1275</v>
      </c>
      <c r="R66" s="11">
        <v>1332.96</v>
      </c>
      <c r="S66" s="11">
        <v>1124.5</v>
      </c>
      <c r="T66" s="11"/>
      <c r="U66" s="11"/>
    </row>
    <row r="67" spans="1:21" x14ac:dyDescent="0.25">
      <c r="A67" s="10">
        <v>9750</v>
      </c>
      <c r="B67" s="10">
        <v>10000</v>
      </c>
      <c r="C67" s="10" t="str">
        <f>IF(AND(Rekentool!$F$56&gt;=A67,Rekentool!$F$56&lt;B67),"Ja","Nee")</f>
        <v>Nee</v>
      </c>
      <c r="D67" s="10" t="str">
        <f>IF(Rekentool!$F$55&lt;=Rekentool!$F$56,IF(AND(Rekentool!$F$55&gt;=A67,Rekentool!$F$55&lt;B67),"Ja","Nee"),IF(AND(Rekentool!$F$56&gt;=A67,Rekentool!$F$56&lt;B67),"Ja","Nee"))</f>
        <v>Nee</v>
      </c>
      <c r="E67" s="11">
        <v>1344</v>
      </c>
      <c r="F67" s="11">
        <f>106.98*12</f>
        <v>1283.76</v>
      </c>
      <c r="G67" s="11">
        <f>106.98*12</f>
        <v>1283.76</v>
      </c>
      <c r="H67" s="11">
        <v>1415</v>
      </c>
      <c r="I67" s="11">
        <v>1499.86</v>
      </c>
      <c r="J67" s="11">
        <f>98.75*12</f>
        <v>1185</v>
      </c>
      <c r="K67" s="11">
        <f t="shared" si="11"/>
        <v>660</v>
      </c>
      <c r="L67" s="11">
        <v>1499.86</v>
      </c>
      <c r="M67" s="11">
        <v>1179.72</v>
      </c>
      <c r="N67" s="11">
        <v>1297.68</v>
      </c>
      <c r="O67" s="11">
        <v>1801.06</v>
      </c>
      <c r="P67" s="11">
        <v>1976</v>
      </c>
      <c r="Q67" s="11">
        <v>1275</v>
      </c>
      <c r="R67" s="11">
        <v>1332.96</v>
      </c>
      <c r="S67" s="11">
        <v>1124.5</v>
      </c>
      <c r="T67" s="11"/>
      <c r="U67" s="11"/>
    </row>
    <row r="68" spans="1:21" x14ac:dyDescent="0.25">
      <c r="A68" s="10">
        <v>10000</v>
      </c>
      <c r="B68" s="10">
        <v>10500</v>
      </c>
      <c r="C68" s="10" t="str">
        <f>IF(AND(Rekentool!$F$56&gt;=A68,Rekentool!$F$56&lt;B68),"Ja","Nee")</f>
        <v>Nee</v>
      </c>
      <c r="D68" s="10" t="str">
        <f>IF(Rekentool!$F$55&lt;=Rekentool!$F$56,IF(AND(Rekentool!$F$55&gt;=A68,Rekentool!$F$55&lt;B68),"Ja","Nee"),IF(AND(Rekentool!$F$56&gt;=A68,Rekentool!$F$56&lt;B68),"Ja","Nee"))</f>
        <v>Nee</v>
      </c>
      <c r="E68" s="11">
        <v>1518</v>
      </c>
      <c r="F68" s="11">
        <v>1332.48</v>
      </c>
      <c r="G68" s="11">
        <v>1332.48</v>
      </c>
      <c r="H68" s="11">
        <v>1524</v>
      </c>
      <c r="I68" s="11">
        <v>3200</v>
      </c>
      <c r="J68" s="11">
        <f>105*12</f>
        <v>1260</v>
      </c>
      <c r="K68" s="11">
        <f t="shared" si="11"/>
        <v>660</v>
      </c>
      <c r="L68" s="11">
        <v>3200</v>
      </c>
      <c r="M68" s="11"/>
      <c r="N68" s="11">
        <v>1364</v>
      </c>
      <c r="O68" s="11">
        <v>2157.5300000000002</v>
      </c>
      <c r="P68" s="11">
        <v>1906.8</v>
      </c>
      <c r="Q68" s="11">
        <v>1500</v>
      </c>
      <c r="R68" s="11">
        <v>2177.7600000000002</v>
      </c>
      <c r="S68" s="11">
        <v>1456.1</v>
      </c>
      <c r="T68" s="11"/>
      <c r="U68" s="11"/>
    </row>
    <row r="69" spans="1:21" x14ac:dyDescent="0.25">
      <c r="A69" s="10">
        <v>10500</v>
      </c>
      <c r="B69" s="10">
        <v>11000</v>
      </c>
      <c r="C69" s="10" t="str">
        <f>IF(AND(Rekentool!$F$56&gt;=A69,Rekentool!$F$56&lt;B69),"Ja","Nee")</f>
        <v>Nee</v>
      </c>
      <c r="D69" s="10" t="str">
        <f>IF(Rekentool!$F$55&lt;=Rekentool!$F$56,IF(AND(Rekentool!$F$55&gt;=A69,Rekentool!$F$55&lt;B69),"Ja","Nee"),IF(AND(Rekentool!$F$56&gt;=A69,Rekentool!$F$56&lt;B69),"Ja","Nee"))</f>
        <v>Nee</v>
      </c>
      <c r="E69" s="11">
        <v>1518</v>
      </c>
      <c r="F69" s="11">
        <v>1332.48</v>
      </c>
      <c r="G69" s="11">
        <v>1332.48</v>
      </c>
      <c r="H69" s="11">
        <v>1524</v>
      </c>
      <c r="I69" s="11">
        <v>3200</v>
      </c>
      <c r="J69" s="11">
        <f>105*12</f>
        <v>1260</v>
      </c>
      <c r="K69" s="11">
        <f t="shared" si="11"/>
        <v>660</v>
      </c>
      <c r="L69" s="11">
        <v>3200</v>
      </c>
      <c r="M69" s="11"/>
      <c r="N69" s="11">
        <v>1431</v>
      </c>
      <c r="O69" s="11">
        <v>2157.5300000000002</v>
      </c>
      <c r="P69" s="11">
        <v>1906.8</v>
      </c>
      <c r="Q69" s="11">
        <v>1500</v>
      </c>
      <c r="R69" s="11">
        <v>2177.7600000000002</v>
      </c>
      <c r="S69" s="11">
        <v>1456.1</v>
      </c>
      <c r="T69" s="11"/>
      <c r="U69" s="11"/>
    </row>
    <row r="70" spans="1:21" x14ac:dyDescent="0.25">
      <c r="A70" s="10">
        <v>11000</v>
      </c>
      <c r="B70" s="10">
        <v>11500</v>
      </c>
      <c r="C70" s="10" t="str">
        <f>IF(AND(Rekentool!$F$56&gt;=A70,Rekentool!$F$56&lt;B70),"Ja","Nee")</f>
        <v>Nee</v>
      </c>
      <c r="D70" s="10" t="str">
        <f>IF(Rekentool!$F$55&lt;=Rekentool!$F$56,IF(AND(Rekentool!$F$55&gt;=A70,Rekentool!$F$55&lt;B70),"Ja","Nee"),IF(AND(Rekentool!$F$56&gt;=A70,Rekentool!$F$56&lt;B70),"Ja","Nee"))</f>
        <v>Nee</v>
      </c>
      <c r="E70" s="11">
        <v>1518</v>
      </c>
      <c r="F70" s="11">
        <v>1332.48</v>
      </c>
      <c r="G70" s="11">
        <v>1332.48</v>
      </c>
      <c r="H70" s="11">
        <v>1669</v>
      </c>
      <c r="I70" s="11">
        <v>3200</v>
      </c>
      <c r="J70" s="11">
        <f>115*12</f>
        <v>1380</v>
      </c>
      <c r="K70" s="11">
        <f t="shared" si="11"/>
        <v>660</v>
      </c>
      <c r="L70" s="11">
        <v>3200</v>
      </c>
      <c r="M70" s="11"/>
      <c r="N70" s="11">
        <v>1497</v>
      </c>
      <c r="O70" s="11">
        <v>2157.5300000000002</v>
      </c>
      <c r="P70" s="11">
        <v>2140.1999999999998</v>
      </c>
      <c r="Q70" s="11">
        <v>1500</v>
      </c>
      <c r="R70" s="11">
        <v>2177.7600000000002</v>
      </c>
      <c r="S70" s="11">
        <v>1456.1</v>
      </c>
      <c r="T70" s="11"/>
      <c r="U70" s="11"/>
    </row>
    <row r="71" spans="1:21" x14ac:dyDescent="0.25">
      <c r="A71" s="10">
        <v>11500</v>
      </c>
      <c r="B71" s="10">
        <v>12000</v>
      </c>
      <c r="C71" s="10" t="str">
        <f>IF(AND(Rekentool!$F$56&gt;=A71,Rekentool!$F$56&lt;B71),"Ja","Nee")</f>
        <v>Nee</v>
      </c>
      <c r="D71" s="10" t="str">
        <f>IF(Rekentool!$F$55&lt;=Rekentool!$F$56,IF(AND(Rekentool!$F$55&gt;=A71,Rekentool!$F$55&lt;B71),"Ja","Nee"),IF(AND(Rekentool!$F$56&gt;=A71,Rekentool!$F$56&lt;B71),"Ja","Nee"))</f>
        <v>Nee</v>
      </c>
      <c r="E71" s="11">
        <v>1518</v>
      </c>
      <c r="F71" s="11">
        <v>1332.48</v>
      </c>
      <c r="G71" s="11">
        <v>1332.48</v>
      </c>
      <c r="H71" s="11">
        <v>1669</v>
      </c>
      <c r="I71" s="11">
        <v>3200</v>
      </c>
      <c r="J71" s="11">
        <f>115*12</f>
        <v>1380</v>
      </c>
      <c r="K71" s="11">
        <f t="shared" si="11"/>
        <v>660</v>
      </c>
      <c r="L71" s="11">
        <v>3200</v>
      </c>
      <c r="M71" s="11"/>
      <c r="N71" s="11">
        <v>1564</v>
      </c>
      <c r="O71" s="11">
        <v>2157.5300000000002</v>
      </c>
      <c r="P71" s="11">
        <v>2140.1999999999998</v>
      </c>
      <c r="Q71" s="11">
        <v>1500</v>
      </c>
      <c r="R71" s="11">
        <v>2177.7600000000002</v>
      </c>
      <c r="S71" s="11">
        <v>1456.1</v>
      </c>
      <c r="T71" s="11"/>
      <c r="U71" s="11"/>
    </row>
    <row r="72" spans="1:21" x14ac:dyDescent="0.25">
      <c r="A72" s="10">
        <v>12000</v>
      </c>
      <c r="B72" s="10">
        <v>12500</v>
      </c>
      <c r="C72" s="10" t="str">
        <f>IF(AND(Rekentool!$F$56&gt;=A72,Rekentool!$F$56&lt;B72),"Ja","Nee")</f>
        <v>Nee</v>
      </c>
      <c r="D72" s="10" t="str">
        <f>IF(Rekentool!$F$55&lt;=Rekentool!$F$56,IF(AND(Rekentool!$F$55&gt;=A72,Rekentool!$F$55&lt;B72),"Ja","Nee"),IF(AND(Rekentool!$F$56&gt;=A72,Rekentool!$F$56&lt;B72),"Ja","Nee"))</f>
        <v>Nee</v>
      </c>
      <c r="E72" s="11">
        <v>1518</v>
      </c>
      <c r="F72" s="11">
        <v>1332.48</v>
      </c>
      <c r="G72" s="11">
        <v>1332.48</v>
      </c>
      <c r="H72" s="11">
        <v>1815</v>
      </c>
      <c r="I72" s="11">
        <v>3200</v>
      </c>
      <c r="J72" s="11">
        <f>125*12</f>
        <v>1500</v>
      </c>
      <c r="K72" s="11">
        <f t="shared" si="11"/>
        <v>660</v>
      </c>
      <c r="L72" s="11">
        <v>3200</v>
      </c>
      <c r="M72" s="11"/>
      <c r="N72" s="11">
        <v>1630</v>
      </c>
      <c r="O72" s="11">
        <v>2157.5300000000002</v>
      </c>
      <c r="P72" s="11">
        <v>2333.4</v>
      </c>
      <c r="Q72" s="11">
        <v>1500</v>
      </c>
      <c r="R72" s="11">
        <v>2177.7600000000002</v>
      </c>
      <c r="S72" s="11">
        <v>1456.1</v>
      </c>
      <c r="T72" s="11"/>
      <c r="U72" s="11"/>
    </row>
    <row r="73" spans="1:21" x14ac:dyDescent="0.25">
      <c r="A73" s="10">
        <v>12500</v>
      </c>
      <c r="B73" s="10">
        <v>13000</v>
      </c>
      <c r="C73" s="10" t="str">
        <f>IF(AND(Rekentool!$F$56&gt;=A73,Rekentool!$F$56&lt;B73),"Ja","Nee")</f>
        <v>Nee</v>
      </c>
      <c r="D73" s="10" t="str">
        <f>IF(Rekentool!$F$55&lt;=Rekentool!$F$56,IF(AND(Rekentool!$F$55&gt;=A73,Rekentool!$F$55&lt;B73),"Ja","Nee"),IF(AND(Rekentool!$F$56&gt;=A73,Rekentool!$F$56&lt;B73),"Ja","Nee"))</f>
        <v>Nee</v>
      </c>
      <c r="E73" s="11">
        <v>1890</v>
      </c>
      <c r="F73" s="11">
        <v>1332.48</v>
      </c>
      <c r="G73" s="11">
        <v>1332.48</v>
      </c>
      <c r="H73" s="11">
        <v>1815</v>
      </c>
      <c r="I73" s="11">
        <v>3200</v>
      </c>
      <c r="J73" s="11">
        <f>125*12</f>
        <v>1500</v>
      </c>
      <c r="K73" s="11">
        <f t="shared" si="11"/>
        <v>660</v>
      </c>
      <c r="L73" s="11">
        <v>3200</v>
      </c>
      <c r="M73" s="11"/>
      <c r="N73" s="11">
        <v>1697</v>
      </c>
      <c r="O73" s="11">
        <v>2626.55</v>
      </c>
      <c r="P73" s="11">
        <v>2333.4</v>
      </c>
      <c r="Q73" s="11">
        <v>1840</v>
      </c>
      <c r="R73" s="11">
        <v>2177.7600000000002</v>
      </c>
      <c r="S73" s="11">
        <v>1779.7</v>
      </c>
      <c r="T73" s="11"/>
      <c r="U73" s="11"/>
    </row>
    <row r="74" spans="1:21" x14ac:dyDescent="0.25">
      <c r="A74" s="10">
        <v>13000</v>
      </c>
      <c r="B74" s="10">
        <v>13500</v>
      </c>
      <c r="C74" s="10" t="str">
        <f>IF(AND(Rekentool!$F$56&gt;=A74,Rekentool!$F$56&lt;B74),"Ja","Nee")</f>
        <v>Nee</v>
      </c>
      <c r="D74" s="10" t="str">
        <f>IF(Rekentool!$F$55&lt;=Rekentool!$F$56,IF(AND(Rekentool!$F$55&gt;=A74,Rekentool!$F$55&lt;B74),"Ja","Nee"),IF(AND(Rekentool!$F$56&gt;=A74,Rekentool!$F$56&lt;B74),"Ja","Nee"))</f>
        <v>Nee</v>
      </c>
      <c r="E74" s="11">
        <v>1890</v>
      </c>
      <c r="F74" s="11">
        <v>1332.48</v>
      </c>
      <c r="G74" s="11">
        <v>1332.48</v>
      </c>
      <c r="H74" s="11">
        <v>1961</v>
      </c>
      <c r="I74" s="11">
        <v>3200</v>
      </c>
      <c r="J74" s="11">
        <f>135*12</f>
        <v>1620</v>
      </c>
      <c r="K74" s="11">
        <f t="shared" si="11"/>
        <v>660</v>
      </c>
      <c r="L74" s="11">
        <v>3200</v>
      </c>
      <c r="M74" s="11"/>
      <c r="N74" s="11">
        <v>1764</v>
      </c>
      <c r="O74" s="11">
        <v>2626.55</v>
      </c>
      <c r="P74" s="11">
        <v>2475</v>
      </c>
      <c r="Q74" s="11">
        <v>1840</v>
      </c>
      <c r="R74" s="11">
        <v>2177.7600000000002</v>
      </c>
      <c r="S74" s="11">
        <v>1779.7</v>
      </c>
      <c r="T74" s="11"/>
      <c r="U74" s="11"/>
    </row>
    <row r="75" spans="1:21" x14ac:dyDescent="0.25">
      <c r="A75" s="10">
        <v>13500</v>
      </c>
      <c r="B75" s="10">
        <v>14000</v>
      </c>
      <c r="C75" s="10" t="str">
        <f>IF(AND(Rekentool!$F$56&gt;=A75,Rekentool!$F$56&lt;B75),"Ja","Nee")</f>
        <v>Nee</v>
      </c>
      <c r="D75" s="10" t="str">
        <f>IF(Rekentool!$F$55&lt;=Rekentool!$F$56,IF(AND(Rekentool!$F$55&gt;=A75,Rekentool!$F$55&lt;B75),"Ja","Nee"),IF(AND(Rekentool!$F$56&gt;=A75,Rekentool!$F$56&lt;B75),"Ja","Nee"))</f>
        <v>Nee</v>
      </c>
      <c r="E75" s="11">
        <v>1890</v>
      </c>
      <c r="F75" s="11">
        <v>1332.48</v>
      </c>
      <c r="G75" s="11">
        <v>1332.48</v>
      </c>
      <c r="H75" s="11">
        <v>1961</v>
      </c>
      <c r="I75" s="11">
        <v>3200</v>
      </c>
      <c r="J75" s="11">
        <f>135*12</f>
        <v>1620</v>
      </c>
      <c r="K75" s="11">
        <f t="shared" si="11"/>
        <v>660</v>
      </c>
      <c r="L75" s="11">
        <v>3200</v>
      </c>
      <c r="M75" s="11"/>
      <c r="N75" s="11">
        <v>1830</v>
      </c>
      <c r="O75" s="11">
        <v>2626.55</v>
      </c>
      <c r="P75" s="11">
        <v>2475</v>
      </c>
      <c r="Q75" s="11">
        <v>1840</v>
      </c>
      <c r="R75" s="11">
        <v>2177.7600000000002</v>
      </c>
      <c r="S75" s="11">
        <v>1779.7</v>
      </c>
      <c r="T75" s="11"/>
      <c r="U75" s="11"/>
    </row>
    <row r="76" spans="1:21" x14ac:dyDescent="0.25">
      <c r="A76" s="10">
        <v>14000</v>
      </c>
      <c r="B76" s="10">
        <v>14500</v>
      </c>
      <c r="C76" s="10" t="str">
        <f>IF(AND(Rekentool!$F$56&gt;=A76,Rekentool!$F$56&lt;B76),"Ja","Nee")</f>
        <v>Nee</v>
      </c>
      <c r="D76" s="10" t="str">
        <f>IF(Rekentool!$F$55&lt;=Rekentool!$F$56,IF(AND(Rekentool!$F$55&gt;=A76,Rekentool!$F$55&lt;B76),"Ja","Nee"),IF(AND(Rekentool!$F$56&gt;=A76,Rekentool!$F$56&lt;B76),"Ja","Nee"))</f>
        <v>Nee</v>
      </c>
      <c r="E76" s="11">
        <v>1890</v>
      </c>
      <c r="F76" s="11">
        <v>1332.48</v>
      </c>
      <c r="G76" s="11">
        <v>1332.48</v>
      </c>
      <c r="H76" s="11">
        <v>2105</v>
      </c>
      <c r="I76" s="11">
        <v>3200</v>
      </c>
      <c r="J76" s="11">
        <f>145*12</f>
        <v>1740</v>
      </c>
      <c r="K76" s="11">
        <f t="shared" si="11"/>
        <v>660</v>
      </c>
      <c r="L76" s="11">
        <v>3200</v>
      </c>
      <c r="M76" s="11"/>
      <c r="N76" s="11">
        <v>1897</v>
      </c>
      <c r="O76" s="11">
        <v>2626.55</v>
      </c>
      <c r="P76" s="11">
        <v>2616.6</v>
      </c>
      <c r="Q76" s="11">
        <v>1840</v>
      </c>
      <c r="R76" s="11">
        <v>2177.7600000000002</v>
      </c>
      <c r="S76" s="11">
        <v>1779.7</v>
      </c>
      <c r="T76" s="11"/>
      <c r="U76" s="11"/>
    </row>
    <row r="77" spans="1:21" x14ac:dyDescent="0.25">
      <c r="A77" s="10">
        <v>14500</v>
      </c>
      <c r="B77" s="10">
        <v>15000</v>
      </c>
      <c r="C77" s="10" t="str">
        <f>IF(AND(Rekentool!$F$56&gt;=A77,Rekentool!$F$56&lt;B77),"Ja","Nee")</f>
        <v>Nee</v>
      </c>
      <c r="D77" s="10" t="str">
        <f>IF(Rekentool!$F$55&lt;=Rekentool!$F$56,IF(AND(Rekentool!$F$55&gt;=A77,Rekentool!$F$55&lt;B77),"Ja","Nee"),IF(AND(Rekentool!$F$56&gt;=A77,Rekentool!$F$56&lt;B77),"Ja","Nee"))</f>
        <v>Nee</v>
      </c>
      <c r="E77" s="11">
        <v>1890</v>
      </c>
      <c r="F77" s="11">
        <v>1332.48</v>
      </c>
      <c r="G77" s="11">
        <v>1332.48</v>
      </c>
      <c r="H77" s="11">
        <v>2105</v>
      </c>
      <c r="I77" s="11">
        <v>3200</v>
      </c>
      <c r="J77" s="11">
        <f>145*12</f>
        <v>1740</v>
      </c>
      <c r="K77" s="11">
        <f t="shared" si="11"/>
        <v>660</v>
      </c>
      <c r="L77" s="11">
        <v>3200</v>
      </c>
      <c r="M77" s="11"/>
      <c r="N77" s="11">
        <v>1963</v>
      </c>
      <c r="O77" s="11">
        <v>2626.55</v>
      </c>
      <c r="P77" s="11">
        <v>2616.6</v>
      </c>
      <c r="Q77" s="11">
        <v>1840</v>
      </c>
      <c r="R77" s="11">
        <v>2177.7600000000002</v>
      </c>
      <c r="S77" s="11">
        <v>1779.7</v>
      </c>
      <c r="T77" s="11"/>
      <c r="U77" s="11"/>
    </row>
    <row r="78" spans="1:21" x14ac:dyDescent="0.25">
      <c r="A78" s="10">
        <v>15000</v>
      </c>
      <c r="B78" s="10">
        <v>15500</v>
      </c>
      <c r="C78" s="10" t="str">
        <f>IF(AND(Rekentool!$F$56&gt;=A78,Rekentool!$F$56&lt;B78),"Ja","Nee")</f>
        <v>Nee</v>
      </c>
      <c r="D78" s="10" t="str">
        <f>IF(Rekentool!$F$55&lt;=Rekentool!$F$56,IF(AND(Rekentool!$F$55&gt;=A78,Rekentool!$F$55&lt;B78),"Ja","Nee"),IF(AND(Rekentool!$F$56&gt;=A78,Rekentool!$F$56&lt;B78),"Ja","Nee"))</f>
        <v>Nee</v>
      </c>
      <c r="E78" s="11">
        <v>2172</v>
      </c>
      <c r="F78" s="11">
        <v>1332.48</v>
      </c>
      <c r="G78" s="11">
        <v>1332.48</v>
      </c>
      <c r="H78" s="11">
        <v>2250</v>
      </c>
      <c r="I78" s="11">
        <v>3200</v>
      </c>
      <c r="J78" s="11">
        <f>155*12</f>
        <v>1860</v>
      </c>
      <c r="K78" s="11">
        <f t="shared" si="11"/>
        <v>660</v>
      </c>
      <c r="L78" s="11">
        <v>3200</v>
      </c>
      <c r="M78" s="11"/>
      <c r="N78" s="11">
        <v>2030</v>
      </c>
      <c r="O78" s="11">
        <v>5628.32</v>
      </c>
      <c r="P78" s="11">
        <v>2757.6</v>
      </c>
      <c r="Q78" s="11">
        <v>2180</v>
      </c>
      <c r="R78" s="11">
        <v>2177.7600000000002</v>
      </c>
      <c r="S78" s="11">
        <v>2249.1</v>
      </c>
      <c r="T78" s="11"/>
      <c r="U78" s="11"/>
    </row>
    <row r="79" spans="1:21" x14ac:dyDescent="0.25">
      <c r="A79" s="10">
        <v>15500</v>
      </c>
      <c r="B79" s="10">
        <v>16000</v>
      </c>
      <c r="C79" s="10" t="str">
        <f>IF(AND(Rekentool!$F$56&gt;=A79,Rekentool!$F$56&lt;B79),"Ja","Nee")</f>
        <v>Nee</v>
      </c>
      <c r="D79" s="10" t="str">
        <f>IF(Rekentool!$F$55&lt;=Rekentool!$F$56,IF(AND(Rekentool!$F$55&gt;=A79,Rekentool!$F$55&lt;B79),"Ja","Nee"),IF(AND(Rekentool!$F$56&gt;=A79,Rekentool!$F$56&lt;B79),"Ja","Nee"))</f>
        <v>Nee</v>
      </c>
      <c r="E79" s="11">
        <v>2172</v>
      </c>
      <c r="F79" s="11">
        <v>1332.48</v>
      </c>
      <c r="G79" s="11">
        <v>1332.48</v>
      </c>
      <c r="H79" s="11">
        <v>2250</v>
      </c>
      <c r="I79" s="11">
        <v>3200</v>
      </c>
      <c r="J79" s="11">
        <f>155*12</f>
        <v>1860</v>
      </c>
      <c r="K79" s="11">
        <f t="shared" si="11"/>
        <v>660</v>
      </c>
      <c r="L79" s="11">
        <v>3200</v>
      </c>
      <c r="M79" s="11"/>
      <c r="N79" s="11">
        <v>2096</v>
      </c>
      <c r="O79" s="11">
        <v>5628.32</v>
      </c>
      <c r="P79" s="11">
        <v>2757.6</v>
      </c>
      <c r="Q79" s="11">
        <v>2180</v>
      </c>
      <c r="R79" s="11">
        <v>2177.7600000000002</v>
      </c>
      <c r="S79" s="11">
        <v>2249.1</v>
      </c>
      <c r="T79" s="11"/>
      <c r="U79" s="11"/>
    </row>
    <row r="80" spans="1:21" x14ac:dyDescent="0.25">
      <c r="A80" s="10">
        <v>16000</v>
      </c>
      <c r="B80" s="10">
        <v>16500</v>
      </c>
      <c r="C80" s="10" t="str">
        <f>IF(AND(Rekentool!$F$56&gt;=A80,Rekentool!$F$56&lt;B80),"Ja","Nee")</f>
        <v>Nee</v>
      </c>
      <c r="D80" s="10" t="str">
        <f>IF(Rekentool!$F$55&lt;=Rekentool!$F$56,IF(AND(Rekentool!$F$55&gt;=A80,Rekentool!$F$55&lt;B80),"Ja","Nee"),IF(AND(Rekentool!$F$56&gt;=A80,Rekentool!$F$56&lt;B80),"Ja","Nee"))</f>
        <v>Nee</v>
      </c>
      <c r="E80" s="11">
        <v>2172</v>
      </c>
      <c r="F80" s="11">
        <v>1332.48</v>
      </c>
      <c r="G80" s="11">
        <v>1332.48</v>
      </c>
      <c r="H80" s="11">
        <v>2395</v>
      </c>
      <c r="I80" s="11">
        <v>3200</v>
      </c>
      <c r="J80" s="11">
        <f>165*12</f>
        <v>1980</v>
      </c>
      <c r="K80" s="11">
        <f t="shared" si="11"/>
        <v>660</v>
      </c>
      <c r="L80" s="11">
        <v>3200</v>
      </c>
      <c r="M80" s="11"/>
      <c r="N80" s="11">
        <v>2163</v>
      </c>
      <c r="O80" s="11">
        <v>5628.32</v>
      </c>
      <c r="P80" s="11">
        <v>2899.2</v>
      </c>
      <c r="Q80" s="11">
        <v>2180</v>
      </c>
      <c r="R80" s="11">
        <v>2177.7600000000002</v>
      </c>
      <c r="S80" s="11">
        <v>2249.1</v>
      </c>
      <c r="T80" s="11"/>
      <c r="U80" s="11"/>
    </row>
    <row r="81" spans="1:22" x14ac:dyDescent="0.25">
      <c r="A81" s="10">
        <v>16500</v>
      </c>
      <c r="B81" s="10">
        <v>17000</v>
      </c>
      <c r="C81" s="10" t="str">
        <f>IF(AND(Rekentool!$F$56&gt;=A81,Rekentool!$F$56&lt;B81),"Ja","Nee")</f>
        <v>Nee</v>
      </c>
      <c r="D81" s="10" t="str">
        <f>IF(Rekentool!$F$55&lt;=Rekentool!$F$56,IF(AND(Rekentool!$F$55&gt;=A81,Rekentool!$F$55&lt;B81),"Ja","Nee"),IF(AND(Rekentool!$F$56&gt;=A81,Rekentool!$F$56&lt;B81),"Ja","Nee"))</f>
        <v>Nee</v>
      </c>
      <c r="E81" s="11">
        <v>2172</v>
      </c>
      <c r="F81" s="11">
        <v>1332.48</v>
      </c>
      <c r="G81" s="11">
        <v>1332.48</v>
      </c>
      <c r="H81" s="11">
        <v>2395</v>
      </c>
      <c r="I81" s="11">
        <v>3200</v>
      </c>
      <c r="J81" s="11">
        <f>165*12</f>
        <v>1980</v>
      </c>
      <c r="K81" s="11">
        <f t="shared" si="11"/>
        <v>660</v>
      </c>
      <c r="L81" s="11">
        <v>3200</v>
      </c>
      <c r="M81" s="11"/>
      <c r="N81" s="11">
        <v>2229</v>
      </c>
      <c r="O81" s="11">
        <v>5628.32</v>
      </c>
      <c r="P81" s="11">
        <v>2899.2</v>
      </c>
      <c r="Q81" s="11">
        <v>2180</v>
      </c>
      <c r="R81" s="11">
        <v>2177.7600000000002</v>
      </c>
      <c r="S81" s="11">
        <v>2249.1</v>
      </c>
      <c r="T81" s="11"/>
      <c r="U81" s="11"/>
    </row>
    <row r="82" spans="1:22" x14ac:dyDescent="0.25">
      <c r="A82" s="10">
        <v>17000</v>
      </c>
      <c r="B82" s="10">
        <v>17500</v>
      </c>
      <c r="C82" s="10" t="str">
        <f>IF(AND(Rekentool!$F$56&gt;=A82,Rekentool!$F$56&lt;B82),"Ja","Nee")</f>
        <v>Nee</v>
      </c>
      <c r="D82" s="10" t="str">
        <f>IF(Rekentool!$F$55&lt;=Rekentool!$F$56,IF(AND(Rekentool!$F$55&gt;=A82,Rekentool!$F$55&lt;B82),"Ja","Nee"),IF(AND(Rekentool!$F$56&gt;=A82,Rekentool!$F$56&lt;B82),"Ja","Nee"))</f>
        <v>Nee</v>
      </c>
      <c r="E82" s="11">
        <v>2172</v>
      </c>
      <c r="F82" s="11">
        <v>1332.48</v>
      </c>
      <c r="G82" s="11">
        <v>1332.48</v>
      </c>
      <c r="H82" s="11">
        <v>2541</v>
      </c>
      <c r="I82" s="11">
        <v>3200</v>
      </c>
      <c r="J82" s="11">
        <f>175*12</f>
        <v>2100</v>
      </c>
      <c r="K82" s="11">
        <f t="shared" si="11"/>
        <v>660</v>
      </c>
      <c r="L82" s="11">
        <v>3200</v>
      </c>
      <c r="M82" s="11"/>
      <c r="N82" s="11">
        <v>2296</v>
      </c>
      <c r="O82" s="11">
        <v>5628.32</v>
      </c>
      <c r="P82" s="11">
        <v>3040.2</v>
      </c>
      <c r="Q82" s="11">
        <v>2180</v>
      </c>
      <c r="R82" s="11">
        <v>2177.7600000000002</v>
      </c>
      <c r="S82" s="11">
        <v>2249.1</v>
      </c>
      <c r="T82" s="11"/>
      <c r="U82" s="11"/>
    </row>
    <row r="83" spans="1:22" x14ac:dyDescent="0.25">
      <c r="A83" s="10">
        <v>17500</v>
      </c>
      <c r="B83" s="10">
        <v>18000</v>
      </c>
      <c r="C83" s="10" t="str">
        <f>IF(AND(Rekentool!$F$56&gt;=A83,Rekentool!$F$56&lt;B83),"Ja","Nee")</f>
        <v>Nee</v>
      </c>
      <c r="D83" s="10" t="str">
        <f>IF(Rekentool!$F$55&lt;=Rekentool!$F$56,IF(AND(Rekentool!$F$55&gt;=A83,Rekentool!$F$55&lt;B83),"Ja","Nee"),IF(AND(Rekentool!$F$56&gt;=A83,Rekentool!$F$56&lt;B83),"Ja","Nee"))</f>
        <v>Nee</v>
      </c>
      <c r="E83" s="11">
        <v>2568</v>
      </c>
      <c r="F83" s="11">
        <v>1332.48</v>
      </c>
      <c r="G83" s="11">
        <v>1332.48</v>
      </c>
      <c r="H83" s="11">
        <v>2541</v>
      </c>
      <c r="I83" s="11">
        <v>3200</v>
      </c>
      <c r="J83" s="11">
        <f>175*12</f>
        <v>2100</v>
      </c>
      <c r="K83" s="11">
        <f t="shared" si="11"/>
        <v>660</v>
      </c>
      <c r="L83" s="11">
        <v>3200</v>
      </c>
      <c r="M83" s="11"/>
      <c r="N83" s="11">
        <v>2362</v>
      </c>
      <c r="O83" s="11">
        <v>5628.32</v>
      </c>
      <c r="P83" s="11">
        <v>3040.2</v>
      </c>
      <c r="Q83" s="11">
        <v>2510</v>
      </c>
      <c r="R83" s="11">
        <v>2177.7600000000002</v>
      </c>
      <c r="S83" s="11">
        <v>2249.1</v>
      </c>
      <c r="T83" s="11"/>
      <c r="U83" s="11"/>
    </row>
    <row r="84" spans="1:22" x14ac:dyDescent="0.25">
      <c r="A84" s="10">
        <v>18000</v>
      </c>
      <c r="B84" s="10">
        <v>18500</v>
      </c>
      <c r="C84" s="10" t="str">
        <f>IF(AND(Rekentool!$F$56&gt;=A84,Rekentool!$F$56&lt;B84),"Ja","Nee")</f>
        <v>Nee</v>
      </c>
      <c r="D84" s="10" t="str">
        <f>IF(Rekentool!$F$55&lt;=Rekentool!$F$56,IF(AND(Rekentool!$F$55&gt;=A84,Rekentool!$F$55&lt;B84),"Ja","Nee"),IF(AND(Rekentool!$F$56&gt;=A84,Rekentool!$F$56&lt;B84),"Ja","Nee"))</f>
        <v>Nee</v>
      </c>
      <c r="E84" s="11">
        <v>2568</v>
      </c>
      <c r="F84" s="11">
        <v>1332.48</v>
      </c>
      <c r="G84" s="11">
        <v>1332.48</v>
      </c>
      <c r="H84" s="11">
        <v>2687</v>
      </c>
      <c r="I84" s="11">
        <v>3200</v>
      </c>
      <c r="J84" s="11">
        <f>185*12</f>
        <v>2220</v>
      </c>
      <c r="K84" s="11">
        <f t="shared" si="11"/>
        <v>660</v>
      </c>
      <c r="L84" s="11">
        <v>3200</v>
      </c>
      <c r="M84" s="11"/>
      <c r="N84" s="11">
        <v>2429</v>
      </c>
      <c r="O84" s="11">
        <v>5628.32</v>
      </c>
      <c r="P84" s="11">
        <v>3181.8</v>
      </c>
      <c r="Q84" s="11">
        <v>2510</v>
      </c>
      <c r="R84" s="11">
        <v>2177.7600000000002</v>
      </c>
      <c r="S84" s="11">
        <v>2249.1</v>
      </c>
      <c r="T84" s="11"/>
      <c r="U84" s="11"/>
    </row>
    <row r="85" spans="1:22" x14ac:dyDescent="0.25">
      <c r="A85" s="10">
        <v>18500</v>
      </c>
      <c r="B85" s="10">
        <v>19000</v>
      </c>
      <c r="C85" s="10" t="str">
        <f>IF(AND(Rekentool!$F$56&gt;=A85,Rekentool!$F$56&lt;B85),"Ja","Nee")</f>
        <v>Nee</v>
      </c>
      <c r="D85" s="10" t="str">
        <f>IF(Rekentool!$F$55&lt;=Rekentool!$F$56,IF(AND(Rekentool!$F$55&gt;=A85,Rekentool!$F$55&lt;B85),"Ja","Nee"),IF(AND(Rekentool!$F$56&gt;=A85,Rekentool!$F$56&lt;B85),"Ja","Nee"))</f>
        <v>Nee</v>
      </c>
      <c r="E85" s="11">
        <v>2568</v>
      </c>
      <c r="F85" s="11">
        <v>1332.48</v>
      </c>
      <c r="G85" s="11">
        <v>1332.48</v>
      </c>
      <c r="H85" s="11">
        <v>2687</v>
      </c>
      <c r="I85" s="11">
        <v>3200</v>
      </c>
      <c r="J85" s="11">
        <f>185*12</f>
        <v>2220</v>
      </c>
      <c r="K85" s="11">
        <f t="shared" si="11"/>
        <v>660</v>
      </c>
      <c r="L85" s="11">
        <v>3200</v>
      </c>
      <c r="M85" s="11"/>
      <c r="N85" s="11">
        <v>2496</v>
      </c>
      <c r="O85" s="11">
        <v>5628.32</v>
      </c>
      <c r="P85" s="11">
        <v>3181.8</v>
      </c>
      <c r="Q85" s="11">
        <v>2510</v>
      </c>
      <c r="R85" s="11">
        <v>2177.7600000000002</v>
      </c>
      <c r="S85" s="11">
        <v>2249.1</v>
      </c>
      <c r="T85" s="11"/>
      <c r="U85" s="11"/>
    </row>
    <row r="86" spans="1:22" x14ac:dyDescent="0.25">
      <c r="A86" s="10">
        <v>19000</v>
      </c>
      <c r="B86" s="10">
        <v>19500</v>
      </c>
      <c r="C86" s="10" t="str">
        <f>IF(AND(Rekentool!$F$56&gt;=A86,Rekentool!$F$56&lt;B86),"Ja","Nee")</f>
        <v>Nee</v>
      </c>
      <c r="D86" s="10" t="str">
        <f>IF(Rekentool!$F$55&lt;=Rekentool!$F$56,IF(AND(Rekentool!$F$55&gt;=A86,Rekentool!$F$55&lt;B86),"Ja","Nee"),IF(AND(Rekentool!$F$56&gt;=A86,Rekentool!$F$56&lt;B86),"Ja","Nee"))</f>
        <v>Nee</v>
      </c>
      <c r="E86" s="11">
        <v>2568</v>
      </c>
      <c r="F86" s="11">
        <v>1332.48</v>
      </c>
      <c r="G86" s="11">
        <v>1332.48</v>
      </c>
      <c r="H86" s="11">
        <v>2831</v>
      </c>
      <c r="I86" s="11">
        <v>3200</v>
      </c>
      <c r="J86" s="11">
        <f>195*12</f>
        <v>2340</v>
      </c>
      <c r="K86" s="11">
        <f t="shared" si="11"/>
        <v>660</v>
      </c>
      <c r="L86" s="11">
        <v>3200</v>
      </c>
      <c r="M86" s="11"/>
      <c r="N86" s="11">
        <v>2562</v>
      </c>
      <c r="O86" s="11">
        <v>5628.32</v>
      </c>
      <c r="P86" s="11">
        <v>3322.8</v>
      </c>
      <c r="Q86" s="11">
        <v>2510</v>
      </c>
      <c r="R86" s="11">
        <v>2177.7600000000002</v>
      </c>
      <c r="S86" s="11">
        <v>2249.1</v>
      </c>
      <c r="T86" s="11"/>
      <c r="U86" s="11"/>
    </row>
    <row r="87" spans="1:22" x14ac:dyDescent="0.25">
      <c r="A87" s="10">
        <v>19500</v>
      </c>
      <c r="B87" s="10">
        <v>20000</v>
      </c>
      <c r="C87" s="10" t="str">
        <f>IF(AND(Rekentool!$F$56&gt;=A87,Rekentool!$F$56&lt;B87),"Ja","Nee")</f>
        <v>Nee</v>
      </c>
      <c r="D87" s="10" t="str">
        <f>IF(Rekentool!$F$55&lt;=Rekentool!$F$56,IF(AND(Rekentool!$F$55&gt;=A87,Rekentool!$F$55&lt;B87),"Ja","Nee"),IF(AND(Rekentool!$F$56&gt;=A87,Rekentool!$F$56&lt;B87),"Ja","Nee"))</f>
        <v>Nee</v>
      </c>
      <c r="E87" s="11">
        <v>2568</v>
      </c>
      <c r="F87" s="11">
        <v>1332.48</v>
      </c>
      <c r="G87" s="11">
        <v>1332.48</v>
      </c>
      <c r="H87" s="11">
        <v>2831</v>
      </c>
      <c r="I87" s="11">
        <v>3200</v>
      </c>
      <c r="J87" s="11">
        <f>195*12</f>
        <v>2340</v>
      </c>
      <c r="K87" s="11">
        <f t="shared" si="11"/>
        <v>660</v>
      </c>
      <c r="L87" s="11">
        <v>3200</v>
      </c>
      <c r="M87" s="11"/>
      <c r="N87" s="11">
        <v>2629</v>
      </c>
      <c r="O87" s="11">
        <v>5628.32</v>
      </c>
      <c r="P87" s="11">
        <v>3322.8</v>
      </c>
      <c r="Q87" s="11">
        <v>2510</v>
      </c>
      <c r="R87" s="11">
        <v>2177.7600000000002</v>
      </c>
      <c r="S87" s="11">
        <v>2249.1</v>
      </c>
      <c r="T87" s="11"/>
      <c r="U87" s="11"/>
    </row>
    <row r="88" spans="1:22" x14ac:dyDescent="0.25">
      <c r="A88" s="10">
        <v>20000</v>
      </c>
      <c r="B88" s="10">
        <v>20500</v>
      </c>
      <c r="C88" s="10" t="str">
        <f>IF(AND(Rekentool!$F$56&gt;=A88,Rekentool!$F$56&lt;B88),"Ja","Nee")</f>
        <v>Nee</v>
      </c>
      <c r="D88" s="10" t="str">
        <f>IF(Rekentool!$F$55&lt;=Rekentool!$F$56,IF(AND(Rekentool!$F$55&gt;=A88,Rekentool!$F$55&lt;B88),"Ja","Nee"),IF(AND(Rekentool!$F$56&gt;=A88,Rekentool!$F$56&lt;B88),"Ja","Nee"))</f>
        <v>Nee</v>
      </c>
      <c r="E88" s="11">
        <v>3024</v>
      </c>
      <c r="F88" s="11">
        <v>1332.48</v>
      </c>
      <c r="G88" s="11">
        <v>1332.48</v>
      </c>
      <c r="H88" s="11">
        <v>2976</v>
      </c>
      <c r="I88" s="11">
        <v>3200</v>
      </c>
      <c r="J88" s="11">
        <f>205*12</f>
        <v>2460</v>
      </c>
      <c r="K88" s="11">
        <f t="shared" si="11"/>
        <v>660</v>
      </c>
      <c r="L88" s="11">
        <v>3200</v>
      </c>
      <c r="M88" s="11"/>
      <c r="N88" s="11">
        <v>2695</v>
      </c>
      <c r="O88" s="11">
        <v>5628.32</v>
      </c>
      <c r="P88" s="11">
        <v>3747</v>
      </c>
      <c r="Q88" s="11">
        <v>2850</v>
      </c>
      <c r="R88" s="11">
        <v>2177.7600000000002</v>
      </c>
      <c r="S88" s="11">
        <v>2912.3</v>
      </c>
      <c r="T88" s="11"/>
      <c r="U88" s="11"/>
    </row>
    <row r="89" spans="1:22" x14ac:dyDescent="0.25">
      <c r="A89" s="10">
        <v>20500</v>
      </c>
      <c r="B89" s="10">
        <v>21000</v>
      </c>
      <c r="C89" s="10" t="str">
        <f>IF(AND(Rekentool!$F$56&gt;=A89,Rekentool!$F$56&lt;B89),"Ja","Nee")</f>
        <v>Nee</v>
      </c>
      <c r="D89" s="10" t="str">
        <f>IF(Rekentool!$F$55&lt;=Rekentool!$F$56,IF(AND(Rekentool!$F$55&gt;=A89,Rekentool!$F$55&lt;B89),"Ja","Nee"),IF(AND(Rekentool!$F$56&gt;=A89,Rekentool!$F$56&lt;B89),"Ja","Nee"))</f>
        <v>Nee</v>
      </c>
      <c r="E89" s="11">
        <v>3024</v>
      </c>
      <c r="F89" s="11">
        <v>1332.48</v>
      </c>
      <c r="G89" s="11">
        <v>1332.48</v>
      </c>
      <c r="H89" s="11">
        <v>2976</v>
      </c>
      <c r="I89" s="11">
        <v>3200</v>
      </c>
      <c r="J89" s="11">
        <f>205*12</f>
        <v>2460</v>
      </c>
      <c r="K89" s="11">
        <f t="shared" si="11"/>
        <v>660</v>
      </c>
      <c r="L89" s="11">
        <v>3200</v>
      </c>
      <c r="M89" s="11"/>
      <c r="N89" s="11">
        <v>2762</v>
      </c>
      <c r="O89" s="11">
        <v>5628.32</v>
      </c>
      <c r="P89" s="11">
        <v>3747</v>
      </c>
      <c r="Q89" s="11">
        <v>2850</v>
      </c>
      <c r="R89" s="11">
        <v>2177.7600000000002</v>
      </c>
      <c r="S89" s="11">
        <v>2912.3</v>
      </c>
      <c r="T89" s="11"/>
      <c r="U89" s="11"/>
    </row>
    <row r="90" spans="1:22" x14ac:dyDescent="0.25">
      <c r="A90" s="10">
        <v>21000</v>
      </c>
      <c r="B90" s="10">
        <v>21500</v>
      </c>
      <c r="C90" s="10" t="str">
        <f>IF(AND(Rekentool!$F$56&gt;=A90,Rekentool!$F$56&lt;B90),"Ja","Nee")</f>
        <v>Nee</v>
      </c>
      <c r="D90" s="10" t="str">
        <f>IF(Rekentool!$F$55&lt;=Rekentool!$F$56,IF(AND(Rekentool!$F$55&gt;=A90,Rekentool!$F$55&lt;B90),"Ja","Nee"),IF(AND(Rekentool!$F$56&gt;=A90,Rekentool!$F$56&lt;B90),"Ja","Nee"))</f>
        <v>Nee</v>
      </c>
      <c r="E90" s="11">
        <v>3024</v>
      </c>
      <c r="F90" s="11">
        <v>1332.48</v>
      </c>
      <c r="G90" s="11">
        <v>1332.48</v>
      </c>
      <c r="H90" s="11">
        <v>3121</v>
      </c>
      <c r="I90" s="11">
        <v>3200</v>
      </c>
      <c r="J90" s="11">
        <f t="shared" ref="J90:J116" si="12">205*12</f>
        <v>2460</v>
      </c>
      <c r="K90" s="11">
        <f t="shared" si="11"/>
        <v>660</v>
      </c>
      <c r="L90" s="11">
        <v>3200</v>
      </c>
      <c r="M90" s="11"/>
      <c r="N90" s="11">
        <v>2828</v>
      </c>
      <c r="O90" s="11">
        <v>5628.32</v>
      </c>
      <c r="P90" s="11">
        <v>3747</v>
      </c>
      <c r="Q90" s="11">
        <v>2850</v>
      </c>
      <c r="R90" s="11">
        <v>2177.7600000000002</v>
      </c>
      <c r="S90" s="11">
        <v>2912.3</v>
      </c>
      <c r="T90" s="11"/>
      <c r="U90" s="11"/>
    </row>
    <row r="91" spans="1:22" x14ac:dyDescent="0.25">
      <c r="A91" s="10">
        <v>21500</v>
      </c>
      <c r="B91" s="10">
        <v>22000</v>
      </c>
      <c r="C91" s="10" t="str">
        <f>IF(AND(Rekentool!$F$56&gt;=A91,Rekentool!$F$56&lt;B91),"Ja","Nee")</f>
        <v>Nee</v>
      </c>
      <c r="D91" s="10" t="str">
        <f>IF(Rekentool!$F$55&lt;=Rekentool!$F$56,IF(AND(Rekentool!$F$55&gt;=A91,Rekentool!$F$55&lt;B91),"Ja","Nee"),IF(AND(Rekentool!$F$56&gt;=A91,Rekentool!$F$56&lt;B91),"Ja","Nee"))</f>
        <v>Nee</v>
      </c>
      <c r="E91" s="11">
        <v>3024</v>
      </c>
      <c r="F91" s="11">
        <v>1332.48</v>
      </c>
      <c r="G91" s="11">
        <v>1332.48</v>
      </c>
      <c r="H91" s="11">
        <v>3121</v>
      </c>
      <c r="I91" s="11">
        <v>3200</v>
      </c>
      <c r="J91" s="11">
        <f t="shared" si="12"/>
        <v>2460</v>
      </c>
      <c r="K91" s="11">
        <f t="shared" si="11"/>
        <v>660</v>
      </c>
      <c r="L91" s="11">
        <v>3200</v>
      </c>
      <c r="M91" s="11"/>
      <c r="N91" s="11">
        <v>2895</v>
      </c>
      <c r="O91" s="11">
        <v>5628.32</v>
      </c>
      <c r="P91" s="11">
        <v>3747</v>
      </c>
      <c r="Q91" s="11">
        <v>2850</v>
      </c>
      <c r="R91" s="11">
        <v>2177.7600000000002</v>
      </c>
      <c r="S91" s="11">
        <v>2912.3</v>
      </c>
      <c r="T91" s="11"/>
      <c r="U91" s="11"/>
    </row>
    <row r="92" spans="1:22" x14ac:dyDescent="0.25">
      <c r="A92" s="10">
        <v>22000</v>
      </c>
      <c r="B92" s="10">
        <v>22500</v>
      </c>
      <c r="C92" s="10" t="str">
        <f>IF(AND(Rekentool!$F$56&gt;=A92,Rekentool!$F$56&lt;B92),"Ja","Nee")</f>
        <v>Nee</v>
      </c>
      <c r="D92" s="10" t="str">
        <f>IF(Rekentool!$F$55&lt;=Rekentool!$F$56,IF(AND(Rekentool!$F$55&gt;=A92,Rekentool!$F$55&lt;B92),"Ja","Nee"),IF(AND(Rekentool!$F$56&gt;=A92,Rekentool!$F$56&lt;B92),"Ja","Nee"))</f>
        <v>Nee</v>
      </c>
      <c r="E92" s="11">
        <v>3024</v>
      </c>
      <c r="F92" s="11">
        <v>1332.48</v>
      </c>
      <c r="G92" s="11">
        <v>1332.48</v>
      </c>
      <c r="H92" s="11">
        <v>3267</v>
      </c>
      <c r="I92" s="11">
        <v>3200</v>
      </c>
      <c r="J92" s="11">
        <f t="shared" si="12"/>
        <v>2460</v>
      </c>
      <c r="K92" s="11">
        <f t="shared" si="11"/>
        <v>660</v>
      </c>
      <c r="L92" s="11">
        <v>3200</v>
      </c>
      <c r="M92" s="11"/>
      <c r="N92" s="11">
        <v>2961</v>
      </c>
      <c r="O92" s="11">
        <v>5628.32</v>
      </c>
      <c r="P92" s="11">
        <v>3747</v>
      </c>
      <c r="Q92" s="11">
        <v>2850</v>
      </c>
      <c r="R92" s="11">
        <v>2177.7600000000002</v>
      </c>
      <c r="S92" s="11">
        <v>2912.3</v>
      </c>
      <c r="T92" s="11"/>
      <c r="U92" s="11"/>
    </row>
    <row r="93" spans="1:22" x14ac:dyDescent="0.25">
      <c r="A93" s="10">
        <v>22500</v>
      </c>
      <c r="B93" s="10">
        <v>23000</v>
      </c>
      <c r="C93" s="10" t="str">
        <f>IF(AND(Rekentool!$F$56&gt;=A93,Rekentool!$F$56&lt;B93),"Ja","Nee")</f>
        <v>Nee</v>
      </c>
      <c r="D93" s="10" t="str">
        <f>IF(Rekentool!$F$55&lt;=Rekentool!$F$56,IF(AND(Rekentool!$F$55&gt;=A93,Rekentool!$F$55&lt;B93),"Ja","Nee"),IF(AND(Rekentool!$F$56&gt;=A93,Rekentool!$F$56&lt;B93),"Ja","Nee"))</f>
        <v>Nee</v>
      </c>
      <c r="E93" s="11">
        <v>3024</v>
      </c>
      <c r="F93" s="11">
        <v>1332.48</v>
      </c>
      <c r="G93" s="11">
        <v>1332.48</v>
      </c>
      <c r="H93" s="11">
        <v>3267</v>
      </c>
      <c r="I93" s="11">
        <v>3200</v>
      </c>
      <c r="J93" s="11">
        <f t="shared" si="12"/>
        <v>2460</v>
      </c>
      <c r="K93" s="11">
        <f t="shared" si="11"/>
        <v>660</v>
      </c>
      <c r="L93" s="11">
        <v>3200</v>
      </c>
      <c r="M93" s="11"/>
      <c r="N93" s="11">
        <v>3028</v>
      </c>
      <c r="O93" s="11">
        <v>5628.32</v>
      </c>
      <c r="P93" s="11">
        <v>3747</v>
      </c>
      <c r="Q93" s="11">
        <v>3180</v>
      </c>
      <c r="R93" s="11">
        <v>2177.7600000000002</v>
      </c>
      <c r="S93" s="11">
        <v>2912.3</v>
      </c>
      <c r="T93" s="11"/>
      <c r="U93" s="11"/>
    </row>
    <row r="94" spans="1:22" x14ac:dyDescent="0.25">
      <c r="A94" s="10">
        <v>23000</v>
      </c>
      <c r="B94" s="10">
        <v>23500</v>
      </c>
      <c r="C94" s="10" t="str">
        <f>IF(AND(Rekentool!$F$56&gt;=A94,Rekentool!$F$56&lt;B94),"Ja","Nee")</f>
        <v>Nee</v>
      </c>
      <c r="D94" s="10" t="str">
        <f>IF(Rekentool!$F$55&lt;=Rekentool!$F$56,IF(AND(Rekentool!$F$55&gt;=A94,Rekentool!$F$55&lt;B94),"Ja","Nee"),IF(AND(Rekentool!$F$56&gt;=A94,Rekentool!$F$56&lt;B94),"Ja","Nee"))</f>
        <v>Nee</v>
      </c>
      <c r="E94" s="11">
        <v>3024</v>
      </c>
      <c r="F94" s="11">
        <v>1332.48</v>
      </c>
      <c r="G94" s="11">
        <v>1332.48</v>
      </c>
      <c r="H94" s="11">
        <v>3413</v>
      </c>
      <c r="I94" s="11">
        <v>3200</v>
      </c>
      <c r="J94" s="11">
        <f t="shared" si="12"/>
        <v>2460</v>
      </c>
      <c r="K94" s="11">
        <f t="shared" si="11"/>
        <v>660</v>
      </c>
      <c r="L94" s="11">
        <v>3200</v>
      </c>
      <c r="M94" s="11"/>
      <c r="N94" s="11">
        <v>3095</v>
      </c>
      <c r="O94" s="11">
        <v>5628.32</v>
      </c>
      <c r="P94" s="11">
        <v>3747</v>
      </c>
      <c r="Q94" s="11">
        <v>3180</v>
      </c>
      <c r="R94" s="11">
        <v>2177.7600000000002</v>
      </c>
      <c r="S94" s="11">
        <v>2912.3</v>
      </c>
      <c r="T94" s="11"/>
      <c r="U94" s="11"/>
    </row>
    <row r="95" spans="1:22" x14ac:dyDescent="0.25">
      <c r="A95" s="10">
        <v>23500</v>
      </c>
      <c r="B95" s="10">
        <v>24000</v>
      </c>
      <c r="C95" s="10" t="str">
        <f>IF(AND(Rekentool!$F$56&gt;=A95,Rekentool!$F$56&lt;B95),"Ja","Nee")</f>
        <v>Nee</v>
      </c>
      <c r="D95" s="10" t="str">
        <f>IF(Rekentool!$F$55&lt;=Rekentool!$F$56,IF(AND(Rekentool!$F$55&gt;=A95,Rekentool!$F$55&lt;B95),"Ja","Nee"),IF(AND(Rekentool!$F$56&gt;=A95,Rekentool!$F$56&lt;B95),"Ja","Nee"))</f>
        <v>Nee</v>
      </c>
      <c r="E95" s="11">
        <v>3024</v>
      </c>
      <c r="F95" s="11">
        <v>1332.48</v>
      </c>
      <c r="G95" s="11">
        <v>1332.48</v>
      </c>
      <c r="H95" s="11">
        <v>3413</v>
      </c>
      <c r="I95" s="11">
        <v>3200</v>
      </c>
      <c r="J95" s="11">
        <f t="shared" si="12"/>
        <v>2460</v>
      </c>
      <c r="K95" s="11">
        <f t="shared" si="11"/>
        <v>660</v>
      </c>
      <c r="L95" s="11">
        <v>3200</v>
      </c>
      <c r="M95" s="11"/>
      <c r="N95" s="11">
        <v>3161</v>
      </c>
      <c r="O95" s="11">
        <v>5628.32</v>
      </c>
      <c r="P95" s="11">
        <v>3747</v>
      </c>
      <c r="Q95" s="11">
        <v>3180</v>
      </c>
      <c r="R95" s="11">
        <v>2177.7600000000002</v>
      </c>
      <c r="S95" s="11">
        <v>2912.3</v>
      </c>
      <c r="T95" s="11"/>
      <c r="U95" s="11"/>
      <c r="V95" s="19"/>
    </row>
    <row r="96" spans="1:22" x14ac:dyDescent="0.25">
      <c r="A96" s="10">
        <v>24000</v>
      </c>
      <c r="B96" s="10">
        <v>25000</v>
      </c>
      <c r="C96" s="10" t="str">
        <f>IF(AND(Rekentool!$F$56&gt;=A96,Rekentool!$F$56&lt;B96),"Ja","Nee")</f>
        <v>Nee</v>
      </c>
      <c r="D96" s="10" t="str">
        <f>IF(Rekentool!$F$55&lt;=Rekentool!$F$56,IF(AND(Rekentool!$F$55&gt;=A96,Rekentool!$F$55&lt;B96),"Ja","Nee"),IF(AND(Rekentool!$F$56&gt;=A96,Rekentool!$F$56&lt;B96),"Ja","Nee"))</f>
        <v>Nee</v>
      </c>
      <c r="E96" s="11">
        <v>3024</v>
      </c>
      <c r="F96" s="11">
        <v>1332.48</v>
      </c>
      <c r="G96" s="11">
        <v>1332.48</v>
      </c>
      <c r="H96" s="11">
        <v>3557</v>
      </c>
      <c r="I96" s="11">
        <v>3200</v>
      </c>
      <c r="J96" s="11">
        <f t="shared" si="12"/>
        <v>2460</v>
      </c>
      <c r="K96" s="11">
        <f t="shared" si="11"/>
        <v>660</v>
      </c>
      <c r="L96" s="11">
        <v>3200</v>
      </c>
      <c r="M96" s="11"/>
      <c r="N96" s="11"/>
      <c r="O96" s="11">
        <v>5628.32</v>
      </c>
      <c r="P96" s="11">
        <v>3747</v>
      </c>
      <c r="Q96" s="11">
        <v>3180</v>
      </c>
      <c r="R96" s="11">
        <v>2177.7600000000002</v>
      </c>
      <c r="S96" s="11">
        <v>2912.3</v>
      </c>
      <c r="T96" s="11"/>
      <c r="U96" s="11"/>
      <c r="V96" s="19"/>
    </row>
    <row r="97" spans="1:22" x14ac:dyDescent="0.25">
      <c r="A97" s="10">
        <v>25000</v>
      </c>
      <c r="B97" s="10">
        <v>26000</v>
      </c>
      <c r="C97" s="10" t="str">
        <f>IF(AND(Rekentool!$F$56&gt;=A97,Rekentool!$F$56&lt;B97),"Ja","Nee")</f>
        <v>Nee</v>
      </c>
      <c r="D97" s="10" t="str">
        <f>IF(Rekentool!$F$55&lt;=Rekentool!$F$56,IF(AND(Rekentool!$F$55&gt;=A97,Rekentool!$F$55&lt;B97),"Ja","Nee"),IF(AND(Rekentool!$F$56&gt;=A97,Rekentool!$F$56&lt;B97),"Ja","Nee"))</f>
        <v>Nee</v>
      </c>
      <c r="E97" s="11">
        <v>3024</v>
      </c>
      <c r="F97" s="11">
        <v>1332.48</v>
      </c>
      <c r="G97" s="11">
        <v>1332.48</v>
      </c>
      <c r="H97" s="11">
        <v>3557</v>
      </c>
      <c r="I97" s="11">
        <v>3200</v>
      </c>
      <c r="J97" s="11">
        <f t="shared" si="12"/>
        <v>2460</v>
      </c>
      <c r="K97" s="11">
        <f t="shared" si="11"/>
        <v>660</v>
      </c>
      <c r="L97" s="11">
        <v>3200</v>
      </c>
      <c r="M97" s="11"/>
      <c r="N97" s="11"/>
      <c r="O97" s="11">
        <v>5628.32</v>
      </c>
      <c r="P97" s="11">
        <v>4453.8</v>
      </c>
      <c r="Q97" s="11">
        <v>3520</v>
      </c>
      <c r="R97" s="11">
        <v>2177.7600000000002</v>
      </c>
      <c r="S97" s="11">
        <v>3559.4</v>
      </c>
      <c r="T97" s="11"/>
      <c r="U97" s="11"/>
    </row>
    <row r="98" spans="1:22" x14ac:dyDescent="0.25">
      <c r="A98" s="10">
        <v>26000</v>
      </c>
      <c r="B98" s="10">
        <v>27000</v>
      </c>
      <c r="C98" s="10" t="str">
        <f>IF(AND(Rekentool!$F$56&gt;=A98,Rekentool!$F$56&lt;B98),"Ja","Nee")</f>
        <v>Nee</v>
      </c>
      <c r="D98" s="10" t="str">
        <f>IF(Rekentool!$F$55&lt;=Rekentool!$F$56,IF(AND(Rekentool!$F$55&gt;=A98,Rekentool!$F$55&lt;B98),"Ja","Nee"),IF(AND(Rekentool!$F$56&gt;=A98,Rekentool!$F$56&lt;B98),"Ja","Nee"))</f>
        <v>Nee</v>
      </c>
      <c r="E98" s="11">
        <v>3024</v>
      </c>
      <c r="F98" s="11">
        <v>1332.48</v>
      </c>
      <c r="G98" s="11">
        <v>1332.48</v>
      </c>
      <c r="H98" s="11">
        <v>3847</v>
      </c>
      <c r="I98" s="11">
        <v>3200</v>
      </c>
      <c r="J98" s="11">
        <f t="shared" si="12"/>
        <v>2460</v>
      </c>
      <c r="K98" s="11">
        <f t="shared" si="11"/>
        <v>660</v>
      </c>
      <c r="L98" s="11">
        <v>3200</v>
      </c>
      <c r="M98" s="11"/>
      <c r="N98" s="11"/>
      <c r="O98" s="11">
        <v>5628.32</v>
      </c>
      <c r="P98" s="11">
        <v>4453.8</v>
      </c>
      <c r="Q98" s="11">
        <v>3520</v>
      </c>
      <c r="R98" s="11">
        <v>2177.7600000000002</v>
      </c>
      <c r="S98" s="11">
        <v>3559.4</v>
      </c>
      <c r="T98" s="11"/>
      <c r="U98" s="11"/>
      <c r="V98" s="19"/>
    </row>
    <row r="99" spans="1:22" x14ac:dyDescent="0.25">
      <c r="A99" s="10">
        <v>27000</v>
      </c>
      <c r="B99" s="10">
        <v>27500</v>
      </c>
      <c r="C99" s="10" t="str">
        <f>IF(AND(Rekentool!$F$56&gt;=A99,Rekentool!$F$56&lt;B99),"Ja","Nee")</f>
        <v>Nee</v>
      </c>
      <c r="D99" s="10" t="str">
        <f>IF(Rekentool!$F$55&lt;=Rekentool!$F$56,IF(AND(Rekentool!$F$55&gt;=A99,Rekentool!$F$55&lt;B99),"Ja","Nee"),IF(AND(Rekentool!$F$56&gt;=A99,Rekentool!$F$56&lt;B99),"Ja","Nee"))</f>
        <v>Nee</v>
      </c>
      <c r="E99" s="11">
        <v>3024</v>
      </c>
      <c r="F99" s="11">
        <v>1332.48</v>
      </c>
      <c r="G99" s="11">
        <v>1332.48</v>
      </c>
      <c r="H99" s="11">
        <v>3993</v>
      </c>
      <c r="I99" s="11">
        <v>3200</v>
      </c>
      <c r="J99" s="11">
        <f t="shared" si="12"/>
        <v>2460</v>
      </c>
      <c r="K99" s="11">
        <f t="shared" si="11"/>
        <v>660</v>
      </c>
      <c r="L99" s="11">
        <v>3200</v>
      </c>
      <c r="M99" s="11"/>
      <c r="N99" s="11"/>
      <c r="O99" s="11">
        <v>5628.32</v>
      </c>
      <c r="P99" s="11">
        <v>4453.8</v>
      </c>
      <c r="Q99" s="11">
        <v>3520</v>
      </c>
      <c r="R99" s="11">
        <v>2177.7600000000002</v>
      </c>
      <c r="S99" s="11">
        <v>3559.4</v>
      </c>
      <c r="T99" s="11"/>
      <c r="U99" s="11"/>
      <c r="V99" s="19"/>
    </row>
    <row r="100" spans="1:22" x14ac:dyDescent="0.25">
      <c r="A100" s="10">
        <v>27500</v>
      </c>
      <c r="B100" s="10">
        <v>28000</v>
      </c>
      <c r="C100" s="10" t="str">
        <f>IF(AND(Rekentool!$F$56&gt;=A100,Rekentool!$F$56&lt;B100),"Ja","Nee")</f>
        <v>Nee</v>
      </c>
      <c r="D100" s="10" t="str">
        <f>IF(Rekentool!$F$55&lt;=Rekentool!$F$56,IF(AND(Rekentool!$F$55&gt;=A100,Rekentool!$F$55&lt;B100),"Ja","Nee"),IF(AND(Rekentool!$F$56&gt;=A100,Rekentool!$F$56&lt;B100),"Ja","Nee"))</f>
        <v>Nee</v>
      </c>
      <c r="E100" s="11">
        <v>3024</v>
      </c>
      <c r="F100" s="11">
        <v>1332.48</v>
      </c>
      <c r="G100" s="11">
        <v>1332.48</v>
      </c>
      <c r="H100" s="11">
        <v>3993</v>
      </c>
      <c r="I100" s="11">
        <v>3200</v>
      </c>
      <c r="J100" s="11">
        <f t="shared" si="12"/>
        <v>2460</v>
      </c>
      <c r="K100" s="11">
        <f t="shared" si="11"/>
        <v>660</v>
      </c>
      <c r="L100" s="11">
        <v>3200</v>
      </c>
      <c r="M100" s="11"/>
      <c r="N100" s="11"/>
      <c r="O100" s="11">
        <v>5628.32</v>
      </c>
      <c r="P100" s="11">
        <v>4453.8</v>
      </c>
      <c r="Q100" s="11">
        <v>3855</v>
      </c>
      <c r="R100" s="11">
        <v>2177.7600000000002</v>
      </c>
      <c r="S100" s="11">
        <v>3559.4</v>
      </c>
      <c r="T100" s="11"/>
      <c r="U100" s="11"/>
    </row>
    <row r="101" spans="1:22" x14ac:dyDescent="0.25">
      <c r="A101" s="10">
        <v>28000</v>
      </c>
      <c r="B101" s="10">
        <v>29000</v>
      </c>
      <c r="C101" s="10" t="str">
        <f>IF(AND(Rekentool!$F$56&gt;=A101,Rekentool!$F$56&lt;B101),"Ja","Nee")</f>
        <v>Nee</v>
      </c>
      <c r="D101" s="10" t="str">
        <f>IF(Rekentool!$F$55&lt;=Rekentool!$F$56,IF(AND(Rekentool!$F$55&gt;=A101,Rekentool!$F$55&lt;B101),"Ja","Nee"),IF(AND(Rekentool!$F$56&gt;=A101,Rekentool!$F$56&lt;B101),"Ja","Nee"))</f>
        <v>Nee</v>
      </c>
      <c r="E101" s="11">
        <v>3024</v>
      </c>
      <c r="F101" s="11">
        <v>1332.48</v>
      </c>
      <c r="G101" s="11">
        <v>1332.48</v>
      </c>
      <c r="H101" s="11">
        <v>4139</v>
      </c>
      <c r="I101" s="11">
        <v>3200</v>
      </c>
      <c r="J101" s="11">
        <f t="shared" si="12"/>
        <v>2460</v>
      </c>
      <c r="K101" s="11">
        <f t="shared" si="11"/>
        <v>660</v>
      </c>
      <c r="L101" s="11">
        <v>3200</v>
      </c>
      <c r="M101" s="11"/>
      <c r="N101" s="11"/>
      <c r="O101" s="11">
        <v>5628.32</v>
      </c>
      <c r="P101" s="11">
        <v>4453.8</v>
      </c>
      <c r="Q101" s="11">
        <v>3855</v>
      </c>
      <c r="R101" s="11">
        <v>2177.7600000000002</v>
      </c>
      <c r="S101" s="11">
        <v>3559.4</v>
      </c>
      <c r="T101" s="11"/>
      <c r="U101" s="11"/>
      <c r="V101" s="19"/>
    </row>
    <row r="102" spans="1:22" x14ac:dyDescent="0.25">
      <c r="A102" s="10">
        <v>29000</v>
      </c>
      <c r="B102" s="10">
        <v>30000</v>
      </c>
      <c r="C102" s="10" t="str">
        <f>IF(AND(Rekentool!$F$56&gt;=A102,Rekentool!$F$56&lt;B102),"Ja","Nee")</f>
        <v>Nee</v>
      </c>
      <c r="D102" s="10" t="str">
        <f>IF(Rekentool!$F$55&lt;=Rekentool!$F$56,IF(AND(Rekentool!$F$55&gt;=A102,Rekentool!$F$55&lt;B102),"Ja","Nee"),IF(AND(Rekentool!$F$56&gt;=A102,Rekentool!$F$56&lt;B102),"Ja","Nee"))</f>
        <v>Nee</v>
      </c>
      <c r="E102" s="11">
        <v>3024</v>
      </c>
      <c r="F102" s="11">
        <v>1332.48</v>
      </c>
      <c r="G102" s="11">
        <v>1332.48</v>
      </c>
      <c r="H102" s="11">
        <v>4283</v>
      </c>
      <c r="I102" s="11">
        <v>3200</v>
      </c>
      <c r="J102" s="11">
        <f t="shared" si="12"/>
        <v>2460</v>
      </c>
      <c r="K102" s="11">
        <f t="shared" si="11"/>
        <v>660</v>
      </c>
      <c r="L102" s="11">
        <v>3200</v>
      </c>
      <c r="M102" s="11"/>
      <c r="N102" s="11"/>
      <c r="O102" s="11">
        <v>5628.32</v>
      </c>
      <c r="P102" s="11">
        <v>4453.8</v>
      </c>
      <c r="Q102" s="11">
        <v>3855</v>
      </c>
      <c r="R102" s="11">
        <v>2177.7600000000002</v>
      </c>
      <c r="S102" s="11">
        <v>3559.4</v>
      </c>
      <c r="T102" s="11"/>
      <c r="U102" s="11"/>
      <c r="V102" s="19"/>
    </row>
    <row r="103" spans="1:22" x14ac:dyDescent="0.25">
      <c r="A103" s="10">
        <v>30000</v>
      </c>
      <c r="B103" s="10">
        <v>35000</v>
      </c>
      <c r="C103" s="10" t="str">
        <f>IF(AND(Rekentool!$F$56&gt;=A103,Rekentool!$F$56&lt;B103),"Ja","Nee")</f>
        <v>Nee</v>
      </c>
      <c r="D103" s="10" t="str">
        <f>IF(Rekentool!$F$55&lt;=Rekentool!$F$56,IF(AND(Rekentool!$F$55&gt;=A103,Rekentool!$F$55&lt;B103),"Ja","Nee"),IF(AND(Rekentool!$F$56&gt;=A103,Rekentool!$F$56&lt;B103),"Ja","Nee"))</f>
        <v>Nee</v>
      </c>
      <c r="E103" s="11">
        <v>3024</v>
      </c>
      <c r="F103" s="11">
        <v>1332.48</v>
      </c>
      <c r="G103" s="11">
        <v>1332.48</v>
      </c>
      <c r="H103" s="11">
        <v>4719</v>
      </c>
      <c r="I103" s="11">
        <v>3200</v>
      </c>
      <c r="J103" s="11">
        <f t="shared" si="12"/>
        <v>2460</v>
      </c>
      <c r="K103" s="11">
        <f t="shared" si="11"/>
        <v>660</v>
      </c>
      <c r="L103" s="11">
        <v>3200</v>
      </c>
      <c r="M103" s="11"/>
      <c r="N103" s="11"/>
      <c r="O103" s="11">
        <v>5628.32</v>
      </c>
      <c r="P103" s="11">
        <v>5160</v>
      </c>
      <c r="Q103" s="11">
        <v>4100</v>
      </c>
      <c r="R103" s="11">
        <v>2177.7600000000002</v>
      </c>
      <c r="S103" s="11">
        <v>4499.2</v>
      </c>
      <c r="T103" s="11"/>
      <c r="U103" s="11"/>
    </row>
    <row r="104" spans="1:22" x14ac:dyDescent="0.25">
      <c r="A104" s="10">
        <v>35000</v>
      </c>
      <c r="B104" s="10">
        <v>40000</v>
      </c>
      <c r="C104" s="10" t="str">
        <f>IF(AND(Rekentool!$F$56&gt;=A104,Rekentool!$F$56&lt;B104),"Ja","Nee")</f>
        <v>Nee</v>
      </c>
      <c r="D104" s="10" t="str">
        <f>IF(Rekentool!$F$55&lt;=Rekentool!$F$56,IF(AND(Rekentool!$F$55&gt;=A104,Rekentool!$F$55&lt;B104),"Ja","Nee"),IF(AND(Rekentool!$F$56&gt;=A104,Rekentool!$F$56&lt;B104),"Ja","Nee"))</f>
        <v>Nee</v>
      </c>
      <c r="E104" s="11">
        <v>3024</v>
      </c>
      <c r="F104" s="11">
        <v>1332.48</v>
      </c>
      <c r="G104" s="11">
        <v>1332.48</v>
      </c>
      <c r="H104" s="11">
        <v>5445</v>
      </c>
      <c r="I104" s="11">
        <v>3200</v>
      </c>
      <c r="J104" s="11">
        <f t="shared" si="12"/>
        <v>2460</v>
      </c>
      <c r="K104" s="11">
        <f t="shared" si="11"/>
        <v>660</v>
      </c>
      <c r="L104" s="11">
        <v>3200</v>
      </c>
      <c r="M104" s="11"/>
      <c r="N104" s="11"/>
      <c r="O104" s="11">
        <v>5628.32</v>
      </c>
      <c r="P104" s="11">
        <v>5866.8</v>
      </c>
      <c r="Q104" s="11">
        <v>4100</v>
      </c>
      <c r="R104" s="11">
        <v>2177.7600000000002</v>
      </c>
      <c r="S104" s="11">
        <v>4499.2</v>
      </c>
      <c r="T104" s="11"/>
      <c r="U104" s="11"/>
    </row>
    <row r="105" spans="1:22" x14ac:dyDescent="0.25">
      <c r="A105" s="10">
        <v>40000</v>
      </c>
      <c r="B105" s="10">
        <v>45000</v>
      </c>
      <c r="C105" s="10" t="str">
        <f>IF(AND(Rekentool!$F$56&gt;=A105,Rekentool!$F$56&lt;B105),"Ja","Nee")</f>
        <v>Nee</v>
      </c>
      <c r="D105" s="10" t="str">
        <f>IF(Rekentool!$F$55&lt;=Rekentool!$F$56,IF(AND(Rekentool!$F$55&gt;=A105,Rekentool!$F$55&lt;B105),"Ja","Nee"),IF(AND(Rekentool!$F$56&gt;=A105,Rekentool!$F$56&lt;B105),"Ja","Nee"))</f>
        <v>Nee</v>
      </c>
      <c r="E105" s="11">
        <v>3024</v>
      </c>
      <c r="F105" s="11">
        <v>1332.48</v>
      </c>
      <c r="G105" s="11">
        <v>1332.48</v>
      </c>
      <c r="H105" s="11">
        <v>6171</v>
      </c>
      <c r="I105" s="11">
        <v>3200</v>
      </c>
      <c r="J105" s="11">
        <f t="shared" si="12"/>
        <v>2460</v>
      </c>
      <c r="K105" s="11">
        <f t="shared" si="11"/>
        <v>660</v>
      </c>
      <c r="L105" s="11">
        <v>3200</v>
      </c>
      <c r="M105" s="11"/>
      <c r="N105" s="11"/>
      <c r="O105" s="11">
        <v>5628.32</v>
      </c>
      <c r="P105" s="11">
        <v>6573.6</v>
      </c>
      <c r="Q105" s="11">
        <v>4100</v>
      </c>
      <c r="R105" s="11">
        <v>2177.7600000000002</v>
      </c>
      <c r="S105" s="11">
        <v>5824.5</v>
      </c>
      <c r="T105" s="11"/>
      <c r="U105" s="11"/>
    </row>
    <row r="106" spans="1:22" x14ac:dyDescent="0.25">
      <c r="A106" s="10">
        <v>45000</v>
      </c>
      <c r="B106" s="10">
        <v>50000</v>
      </c>
      <c r="C106" s="10" t="str">
        <f>IF(AND(Rekentool!$F$56&gt;=A106,Rekentool!$F$56&lt;B106),"Ja","Nee")</f>
        <v>Nee</v>
      </c>
      <c r="D106" s="10" t="str">
        <f>IF(Rekentool!$F$55&lt;=Rekentool!$F$56,IF(AND(Rekentool!$F$55&gt;=A106,Rekentool!$F$55&lt;B106),"Ja","Nee"),IF(AND(Rekentool!$F$56&gt;=A106,Rekentool!$F$56&lt;B106),"Ja","Nee"))</f>
        <v>Nee</v>
      </c>
      <c r="E106" s="11">
        <v>3024</v>
      </c>
      <c r="F106" s="11">
        <v>1332.48</v>
      </c>
      <c r="G106" s="11">
        <v>1332.48</v>
      </c>
      <c r="H106" s="11">
        <v>6897</v>
      </c>
      <c r="I106" s="11">
        <v>3200</v>
      </c>
      <c r="J106" s="11">
        <f t="shared" si="12"/>
        <v>2460</v>
      </c>
      <c r="K106" s="11">
        <f t="shared" si="11"/>
        <v>660</v>
      </c>
      <c r="L106" s="11">
        <v>3200</v>
      </c>
      <c r="M106" s="11"/>
      <c r="N106" s="11"/>
      <c r="O106" s="11">
        <v>5628.32</v>
      </c>
      <c r="P106" s="11">
        <v>7280.4</v>
      </c>
      <c r="Q106" s="11">
        <v>4100</v>
      </c>
      <c r="R106" s="11">
        <v>2177.7600000000002</v>
      </c>
      <c r="S106" s="11">
        <v>5824.5</v>
      </c>
      <c r="T106" s="11"/>
      <c r="U106" s="11"/>
    </row>
    <row r="107" spans="1:22" x14ac:dyDescent="0.25">
      <c r="A107" s="10">
        <v>50000</v>
      </c>
      <c r="B107" s="10">
        <v>55000</v>
      </c>
      <c r="C107" s="10" t="str">
        <f>IF(AND(Rekentool!$F$56&gt;=A107,Rekentool!$F$56&lt;B107),"Ja","Nee")</f>
        <v>Nee</v>
      </c>
      <c r="D107" s="10" t="str">
        <f>IF(Rekentool!$F$55&lt;=Rekentool!$F$56,IF(AND(Rekentool!$F$55&gt;=A107,Rekentool!$F$55&lt;B107),"Ja","Nee"),IF(AND(Rekentool!$F$56&gt;=A107,Rekentool!$F$56&lt;B107),"Ja","Nee"))</f>
        <v>Nee</v>
      </c>
      <c r="E107" s="11">
        <v>3024</v>
      </c>
      <c r="F107" s="11">
        <v>1332.48</v>
      </c>
      <c r="G107" s="11">
        <v>1332.48</v>
      </c>
      <c r="H107" s="11">
        <v>7623</v>
      </c>
      <c r="I107" s="11">
        <v>3200</v>
      </c>
      <c r="J107" s="11">
        <f t="shared" si="12"/>
        <v>2460</v>
      </c>
      <c r="K107" s="11">
        <f t="shared" si="11"/>
        <v>660</v>
      </c>
      <c r="L107" s="11">
        <v>3200</v>
      </c>
      <c r="M107" s="11"/>
      <c r="N107" s="11"/>
      <c r="O107" s="11">
        <v>5628.32</v>
      </c>
      <c r="P107" s="11">
        <v>8340</v>
      </c>
      <c r="Q107" s="11">
        <v>4100</v>
      </c>
      <c r="R107" s="11">
        <v>2177.7600000000002</v>
      </c>
      <c r="S107" s="11">
        <v>7118.9</v>
      </c>
      <c r="T107" s="11"/>
      <c r="U107" s="11"/>
    </row>
    <row r="108" spans="1:22" x14ac:dyDescent="0.25">
      <c r="A108" s="10">
        <v>55000</v>
      </c>
      <c r="B108" s="10">
        <v>60000</v>
      </c>
      <c r="C108" s="10" t="str">
        <f>IF(AND(Rekentool!$F$56&gt;=A108,Rekentool!$F$56&lt;B108),"Ja","Nee")</f>
        <v>Nee</v>
      </c>
      <c r="D108" s="10" t="str">
        <f>IF(Rekentool!$F$55&lt;=Rekentool!$F$56,IF(AND(Rekentool!$F$55&gt;=A108,Rekentool!$F$55&lt;B108),"Ja","Nee"),IF(AND(Rekentool!$F$56&gt;=A108,Rekentool!$F$56&lt;B108),"Ja","Nee"))</f>
        <v>Nee</v>
      </c>
      <c r="E108" s="11">
        <v>3024</v>
      </c>
      <c r="F108" s="11">
        <v>1332.48</v>
      </c>
      <c r="G108" s="11">
        <v>1332.48</v>
      </c>
      <c r="H108" s="11">
        <v>8349</v>
      </c>
      <c r="I108" s="11">
        <v>3200</v>
      </c>
      <c r="J108" s="11">
        <f t="shared" si="12"/>
        <v>2460</v>
      </c>
      <c r="K108" s="11">
        <f t="shared" si="11"/>
        <v>660</v>
      </c>
      <c r="L108" s="11">
        <v>3200</v>
      </c>
      <c r="M108" s="11"/>
      <c r="N108" s="11"/>
      <c r="O108" s="11">
        <v>5628.32</v>
      </c>
      <c r="P108" s="11">
        <v>8340</v>
      </c>
      <c r="Q108" s="11">
        <v>4100</v>
      </c>
      <c r="R108" s="11">
        <v>2177.7600000000002</v>
      </c>
      <c r="S108" s="11">
        <v>7118.9</v>
      </c>
      <c r="T108" s="11"/>
      <c r="U108" s="11"/>
    </row>
    <row r="109" spans="1:22" x14ac:dyDescent="0.25">
      <c r="A109" s="10">
        <v>60000</v>
      </c>
      <c r="B109" s="10">
        <v>65000</v>
      </c>
      <c r="C109" s="10" t="str">
        <f>IF(AND(Rekentool!$F$56&gt;=A109,Rekentool!$F$56&lt;B109),"Ja","Nee")</f>
        <v>Nee</v>
      </c>
      <c r="D109" s="10" t="str">
        <f>IF(Rekentool!$F$55&lt;=Rekentool!$F$56,IF(AND(Rekentool!$F$55&gt;=A109,Rekentool!$F$55&lt;B109),"Ja","Nee"),IF(AND(Rekentool!$F$56&gt;=A109,Rekentool!$F$56&lt;B109),"Ja","Nee"))</f>
        <v>Nee</v>
      </c>
      <c r="E109" s="11">
        <v>3024</v>
      </c>
      <c r="F109" s="11">
        <v>1332.48</v>
      </c>
      <c r="G109" s="11">
        <v>1332.48</v>
      </c>
      <c r="H109" s="11">
        <v>9075</v>
      </c>
      <c r="I109" s="11">
        <v>3200</v>
      </c>
      <c r="J109" s="11">
        <f t="shared" si="12"/>
        <v>2460</v>
      </c>
      <c r="K109" s="11">
        <f t="shared" si="11"/>
        <v>660</v>
      </c>
      <c r="L109" s="11">
        <v>3200</v>
      </c>
      <c r="M109" s="11"/>
      <c r="N109" s="11"/>
      <c r="O109" s="11">
        <v>5628.32</v>
      </c>
      <c r="P109" s="11">
        <v>9753</v>
      </c>
      <c r="Q109" s="11">
        <v>4100</v>
      </c>
      <c r="R109" s="11">
        <v>2177.7600000000002</v>
      </c>
      <c r="S109" s="11">
        <v>8413.2000000000007</v>
      </c>
      <c r="T109" s="11"/>
      <c r="U109" s="11"/>
    </row>
    <row r="110" spans="1:22" x14ac:dyDescent="0.25">
      <c r="A110" s="10">
        <v>65000</v>
      </c>
      <c r="B110" s="10">
        <v>70000</v>
      </c>
      <c r="C110" s="10" t="str">
        <f>IF(AND(Rekentool!$F$56&gt;=A110,Rekentool!$F$56&lt;B110),"Ja","Nee")</f>
        <v>Nee</v>
      </c>
      <c r="D110" s="10" t="str">
        <f>IF(Rekentool!$F$55&lt;=Rekentool!$F$56,IF(AND(Rekentool!$F$55&gt;=A110,Rekentool!$F$55&lt;B110),"Ja","Nee"),IF(AND(Rekentool!$F$56&gt;=A110,Rekentool!$F$56&lt;B110),"Ja","Nee"))</f>
        <v>Nee</v>
      </c>
      <c r="E110" s="11">
        <v>3024</v>
      </c>
      <c r="F110" s="11">
        <v>1332.48</v>
      </c>
      <c r="G110" s="11">
        <v>1332.48</v>
      </c>
      <c r="H110" s="11">
        <v>9801</v>
      </c>
      <c r="I110" s="11">
        <v>3200</v>
      </c>
      <c r="J110" s="11">
        <f t="shared" si="12"/>
        <v>2460</v>
      </c>
      <c r="K110" s="11">
        <f t="shared" si="11"/>
        <v>660</v>
      </c>
      <c r="L110" s="11">
        <v>3200</v>
      </c>
      <c r="M110" s="11"/>
      <c r="N110" s="11"/>
      <c r="O110" s="11">
        <v>5628.32</v>
      </c>
      <c r="P110" s="11">
        <v>9753</v>
      </c>
      <c r="Q110" s="11">
        <v>4100</v>
      </c>
      <c r="R110" s="11">
        <v>2177.7600000000002</v>
      </c>
      <c r="S110" s="11">
        <v>8413.2000000000007</v>
      </c>
      <c r="T110" s="11"/>
      <c r="U110" s="11"/>
    </row>
    <row r="111" spans="1:22" x14ac:dyDescent="0.25">
      <c r="A111" s="10">
        <v>70000</v>
      </c>
      <c r="B111" s="10">
        <v>75000</v>
      </c>
      <c r="C111" s="10" t="str">
        <f>IF(AND(Rekentool!$F$56&gt;=A111,Rekentool!$F$56&lt;B111),"Ja","Nee")</f>
        <v>Nee</v>
      </c>
      <c r="D111" s="10" t="str">
        <f>IF(Rekentool!$F$55&lt;=Rekentool!$F$56,IF(AND(Rekentool!$F$55&gt;=A111,Rekentool!$F$55&lt;B111),"Ja","Nee"),IF(AND(Rekentool!$F$56&gt;=A111,Rekentool!$F$56&lt;B111),"Ja","Nee"))</f>
        <v>Nee</v>
      </c>
      <c r="E111" s="11">
        <v>3024</v>
      </c>
      <c r="F111" s="11">
        <v>1332.48</v>
      </c>
      <c r="G111" s="11">
        <v>1332.48</v>
      </c>
      <c r="H111" s="11">
        <v>10527</v>
      </c>
      <c r="I111" s="11">
        <v>3200</v>
      </c>
      <c r="J111" s="11">
        <f t="shared" si="12"/>
        <v>2460</v>
      </c>
      <c r="K111" s="11">
        <f t="shared" si="11"/>
        <v>660</v>
      </c>
      <c r="L111" s="11">
        <v>3200</v>
      </c>
      <c r="M111" s="11"/>
      <c r="N111" s="11"/>
      <c r="O111" s="11">
        <v>5628.32</v>
      </c>
      <c r="P111" s="11">
        <v>11204.4</v>
      </c>
      <c r="Q111" s="11">
        <v>4100</v>
      </c>
      <c r="R111" s="11">
        <v>2177.7600000000002</v>
      </c>
      <c r="S111" s="11">
        <v>9707.5</v>
      </c>
      <c r="T111" s="11"/>
      <c r="U111" s="11"/>
    </row>
    <row r="112" spans="1:22" x14ac:dyDescent="0.25">
      <c r="A112" s="10">
        <v>75000</v>
      </c>
      <c r="B112" s="10">
        <v>80000</v>
      </c>
      <c r="C112" s="10" t="str">
        <f>IF(AND(Rekentool!$F$56&gt;=A112,Rekentool!$F$56&lt;B112),"Ja","Nee")</f>
        <v>Nee</v>
      </c>
      <c r="D112" s="10" t="str">
        <f>IF(Rekentool!$F$55&lt;=Rekentool!$F$56,IF(AND(Rekentool!$F$55&gt;=A112,Rekentool!$F$55&lt;B112),"Ja","Nee"),IF(AND(Rekentool!$F$56&gt;=A112,Rekentool!$F$56&lt;B112),"Ja","Nee"))</f>
        <v>Nee</v>
      </c>
      <c r="E112" s="11">
        <v>3024</v>
      </c>
      <c r="F112" s="11">
        <v>1332.48</v>
      </c>
      <c r="G112" s="11">
        <v>1332.48</v>
      </c>
      <c r="H112" s="11">
        <v>11253</v>
      </c>
      <c r="I112" s="11">
        <v>3200</v>
      </c>
      <c r="J112" s="11">
        <f t="shared" si="12"/>
        <v>2460</v>
      </c>
      <c r="K112" s="11">
        <f t="shared" si="11"/>
        <v>660</v>
      </c>
      <c r="L112" s="11">
        <v>3200</v>
      </c>
      <c r="M112" s="11"/>
      <c r="N112" s="11"/>
      <c r="O112" s="11">
        <v>5628.32</v>
      </c>
      <c r="P112" s="11">
        <v>11204.4</v>
      </c>
      <c r="Q112" s="11">
        <v>4100</v>
      </c>
      <c r="R112" s="11">
        <v>2177.7600000000002</v>
      </c>
      <c r="S112" s="11">
        <v>9707.5</v>
      </c>
      <c r="T112" s="11"/>
      <c r="U112" s="11"/>
    </row>
    <row r="113" spans="1:21" x14ac:dyDescent="0.25">
      <c r="A113" s="10">
        <v>80000</v>
      </c>
      <c r="B113" s="10">
        <v>85000</v>
      </c>
      <c r="C113" s="10" t="str">
        <f>IF(AND(Rekentool!$F$56&gt;=A113,Rekentool!$F$56&lt;B113),"Ja","Nee")</f>
        <v>Nee</v>
      </c>
      <c r="D113" s="10" t="str">
        <f>IF(Rekentool!$F$55&lt;=Rekentool!$F$56,IF(AND(Rekentool!$F$55&gt;=A113,Rekentool!$F$55&lt;B113),"Ja","Nee"),IF(AND(Rekentool!$F$56&gt;=A113,Rekentool!$F$56&lt;B113),"Ja","Nee"))</f>
        <v>Nee</v>
      </c>
      <c r="E113" s="11">
        <v>3024</v>
      </c>
      <c r="F113" s="11">
        <v>1332.48</v>
      </c>
      <c r="G113" s="11">
        <v>1332.48</v>
      </c>
      <c r="H113" s="11">
        <v>117979</v>
      </c>
      <c r="I113" s="11">
        <v>3200</v>
      </c>
      <c r="J113" s="11">
        <f t="shared" si="12"/>
        <v>2460</v>
      </c>
      <c r="K113" s="11">
        <f t="shared" si="11"/>
        <v>660</v>
      </c>
      <c r="L113" s="11">
        <v>3200</v>
      </c>
      <c r="M113" s="11"/>
      <c r="N113" s="11"/>
      <c r="O113" s="11">
        <v>5628.32</v>
      </c>
      <c r="P113" s="11">
        <v>12618</v>
      </c>
      <c r="Q113" s="11">
        <v>4100</v>
      </c>
      <c r="R113" s="11">
        <v>2177.7600000000002</v>
      </c>
      <c r="S113" s="11">
        <v>11001.9</v>
      </c>
      <c r="T113" s="11"/>
      <c r="U113" s="11"/>
    </row>
    <row r="114" spans="1:21" x14ac:dyDescent="0.25">
      <c r="A114" s="10">
        <v>85000</v>
      </c>
      <c r="B114" s="10">
        <v>90000</v>
      </c>
      <c r="C114" s="10" t="str">
        <f>IF(AND(Rekentool!$F$56&gt;=A114,Rekentool!$F$56&lt;B114),"Ja","Nee")</f>
        <v>Nee</v>
      </c>
      <c r="D114" s="10" t="str">
        <f>IF(Rekentool!$F$55&lt;=Rekentool!$F$56,IF(AND(Rekentool!$F$55&gt;=A114,Rekentool!$F$55&lt;B114),"Ja","Nee"),IF(AND(Rekentool!$F$56&gt;=A114,Rekentool!$F$56&lt;B114),"Ja","Nee"))</f>
        <v>Nee</v>
      </c>
      <c r="E114" s="11">
        <v>3024</v>
      </c>
      <c r="F114" s="11">
        <v>1332.48</v>
      </c>
      <c r="G114" s="11">
        <v>1332.48</v>
      </c>
      <c r="H114" s="11">
        <v>12705</v>
      </c>
      <c r="I114" s="11">
        <v>3200</v>
      </c>
      <c r="J114" s="11">
        <f t="shared" si="12"/>
        <v>2460</v>
      </c>
      <c r="K114" s="11">
        <f t="shared" ref="K114:K116" si="13">55*12</f>
        <v>660</v>
      </c>
      <c r="L114" s="11">
        <v>3200</v>
      </c>
      <c r="M114" s="11"/>
      <c r="N114" s="11"/>
      <c r="O114" s="11">
        <v>5628.32</v>
      </c>
      <c r="P114" s="11">
        <v>12618</v>
      </c>
      <c r="Q114" s="11">
        <v>4100</v>
      </c>
      <c r="R114" s="11">
        <v>2177.7600000000002</v>
      </c>
      <c r="S114" s="11">
        <v>11001.9</v>
      </c>
      <c r="T114" s="11"/>
      <c r="U114" s="11"/>
    </row>
    <row r="115" spans="1:21" x14ac:dyDescent="0.25">
      <c r="A115" s="10">
        <v>90000</v>
      </c>
      <c r="B115" s="10">
        <v>95000</v>
      </c>
      <c r="C115" s="10" t="str">
        <f>IF(AND(Rekentool!$F$56&gt;=A115,Rekentool!$F$56&lt;B115),"Ja","Nee")</f>
        <v>Nee</v>
      </c>
      <c r="D115" s="10" t="str">
        <f>IF(Rekentool!$F$55&lt;=Rekentool!$F$56,IF(AND(Rekentool!$F$55&gt;=A115,Rekentool!$F$55&lt;B115),"Ja","Nee"),IF(AND(Rekentool!$F$56&gt;=A115,Rekentool!$F$56&lt;B115),"Ja","Nee"))</f>
        <v>Nee</v>
      </c>
      <c r="E115" s="11">
        <v>3024</v>
      </c>
      <c r="F115" s="11">
        <v>1332.48</v>
      </c>
      <c r="G115" s="11">
        <v>1332.48</v>
      </c>
      <c r="H115" s="11">
        <v>13431</v>
      </c>
      <c r="I115" s="11">
        <v>3200</v>
      </c>
      <c r="J115" s="11">
        <f t="shared" si="12"/>
        <v>2460</v>
      </c>
      <c r="K115" s="11">
        <f t="shared" si="13"/>
        <v>660</v>
      </c>
      <c r="L115" s="11">
        <v>3200</v>
      </c>
      <c r="M115" s="11"/>
      <c r="N115" s="11"/>
      <c r="O115" s="11">
        <v>5628.32</v>
      </c>
      <c r="P115" s="11">
        <v>14031</v>
      </c>
      <c r="Q115" s="11">
        <v>4100</v>
      </c>
      <c r="R115" s="11">
        <v>2177.7600000000002</v>
      </c>
      <c r="S115" s="11">
        <v>12296.2</v>
      </c>
      <c r="T115" s="11"/>
      <c r="U115" s="11"/>
    </row>
    <row r="116" spans="1:21" x14ac:dyDescent="0.25">
      <c r="A116" s="10">
        <v>95000</v>
      </c>
      <c r="B116" s="10">
        <v>100000</v>
      </c>
      <c r="C116" s="10" t="str">
        <f>IF(AND(Rekentool!$F$56&gt;=A116,Rekentool!$F$56&lt;B116),"Ja","Nee")</f>
        <v>Nee</v>
      </c>
      <c r="D116" s="10" t="str">
        <f>IF(Rekentool!$F$55&lt;=Rekentool!$F$56,IF(AND(Rekentool!$F$55&gt;=A116,Rekentool!$F$55&lt;B116),"Ja","Nee"),IF(AND(Rekentool!$F$56&gt;=A116,Rekentool!$F$56&lt;B116),"Ja","Nee"))</f>
        <v>Nee</v>
      </c>
      <c r="E116" s="11">
        <v>3024</v>
      </c>
      <c r="F116" s="11">
        <v>1332.48</v>
      </c>
      <c r="G116" s="11">
        <v>1332.48</v>
      </c>
      <c r="H116" s="11">
        <v>14157</v>
      </c>
      <c r="I116" s="11">
        <v>3200</v>
      </c>
      <c r="J116" s="11">
        <f t="shared" si="12"/>
        <v>2460</v>
      </c>
      <c r="K116" s="11">
        <f t="shared" si="13"/>
        <v>660</v>
      </c>
      <c r="L116" s="11">
        <v>3200</v>
      </c>
      <c r="M116" s="11"/>
      <c r="N116" s="11"/>
      <c r="O116" s="11">
        <v>5628.32</v>
      </c>
      <c r="P116" s="11">
        <v>14031</v>
      </c>
      <c r="Q116" s="11">
        <v>4100</v>
      </c>
      <c r="R116" s="11">
        <v>2177.7600000000002</v>
      </c>
      <c r="S116" s="11">
        <v>12296.2</v>
      </c>
      <c r="T116" s="11"/>
      <c r="U116" s="11"/>
    </row>
    <row r="140" spans="22:22" x14ac:dyDescent="0.25">
      <c r="V140" s="19"/>
    </row>
    <row r="141" spans="22:22" x14ac:dyDescent="0.25">
      <c r="V141" s="19"/>
    </row>
    <row r="142" spans="22:22" x14ac:dyDescent="0.25">
      <c r="V142" s="19"/>
    </row>
    <row r="143" spans="22:22" x14ac:dyDescent="0.25">
      <c r="V143" s="19"/>
    </row>
    <row r="144" spans="22:22" x14ac:dyDescent="0.25">
      <c r="V144" s="19"/>
    </row>
  </sheetData>
  <sortState xmlns:xlrd2="http://schemas.microsoft.com/office/spreadsheetml/2017/richdata2" ref="V7:X195">
    <sortCondition ref="V7:V195"/>
  </sortState>
  <phoneticPr fontId="12" type="noConversion"/>
  <hyperlinks>
    <hyperlink ref="V1" r:id="rId1" xr:uid="{11F50EF3-E610-4692-B143-89E775515F01}"/>
    <hyperlink ref="V2" r:id="rId2" xr:uid="{3D75D315-456B-47D2-A8B7-FF69D31BF29A}"/>
    <hyperlink ref="V3" r:id="rId3" xr:uid="{38EBD356-3B3C-42EB-B1F5-9CC25A0C8EA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2 l w l W k z O A 9 G l A A A A 9 g A A A B I A H A B D b 2 5 m a W c v U G F j a 2 F n Z S 5 4 b W w g o h g A K K A U A A A A A A A A A A A A A A A A A A A A A A A A A A A A h Y + x D o I w F E V / h X S n L b A Q 8 q i J D i 6 S m J g Y 1 6 Z U a I S H o c X y b w 5 + k r 8 g R l E 3 x 3 v u G e 6 9 X 2 + w G N s m u O j e m g 5 z E l F O A o 2 q K w 1 W O R n c M U z J Q s B W q p O s d D D J a L P R l j m p n T t n j H n v q U 9 o 1 1 c s 5 j x i h 2 K z U 7 V u J f n I 5 r 8 c G r R O o t J E w P 4 1 R s Q 0 S l I a p Z x y Y D O E w u B X i K e 9 z / Y H w m p o 3 N B r o T F c L 4 H N E d j 7 g 3 g A U E s D B B Q A A g A I A N p c J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X C V a K I p H u A 4 A A A A R A A A A E w A c A E Z v c m 1 1 b G F z L 1 N l Y 3 R p b 2 4 x L m 0 g o h g A K K A U A A A A A A A A A A A A A A A A A A A A A A A A A A A A K 0 5 N L s n M z 1 M I h t C G 1 g B Q S w E C L Q A U A A I A C A D a X C V a T M 4 D 0 a U A A A D 2 A A A A E g A A A A A A A A A A A A A A A A A A A A A A Q 2 9 u Z m l n L 1 B h Y 2 t h Z 2 U u e G 1 s U E s B A i 0 A F A A C A A g A 2 l w l W g / K 6 a u k A A A A 6 Q A A A B M A A A A A A A A A A A A A A A A A 8 Q A A A F t D b 2 5 0 Z W 5 0 X 1 R 5 c G V z X S 5 4 b W x Q S w E C L Q A U A A I A C A D a X C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J a P 2 B S O x k a 8 O 7 / B X N T Q P A A A A A A C A A A A A A A Q Z g A A A A E A A C A A A A C 4 r Q f c / 4 I p R O Q 6 4 j e V Y H t v I r e n 0 1 J R F L 2 M r D U V I Y 1 s J w A A A A A O g A A A A A I A A C A A A A D 8 E i i u 5 0 n L I u 9 O Z 2 R b g g X x 5 D s f L l g v w i Q C L F R X W P T b n F A A A A A t X K P A U X U e A 2 Y r g j n z 3 I S 6 r 6 R N s O A U M u u h u w B e S u l a t n l l 8 p I l V G m 8 s 4 6 Y E i r V n j N C n X g 4 e z k / A 3 V L d m R z F L F 3 x L 4 p U m E x Y / 6 I P R 1 g h E o X g k A A A A B I 2 D 4 d B + e 9 8 6 T E 9 R 8 Y M s S 9 M G m q m f Y l D y d 2 x j p K 8 y k F S 8 l L 0 b 6 Z h 6 T J h w f 9 j A / r i t 0 0 G 8 f y F 9 m 6 5 3 D 3 0 g 8 g 5 A P J < / D a t a M a s h u p > 
</file>

<file path=customXml/itemProps1.xml><?xml version="1.0" encoding="utf-8"?>
<ds:datastoreItem xmlns:ds="http://schemas.openxmlformats.org/officeDocument/2006/customXml" ds:itemID="{3B5D38D7-FBB2-4305-A26B-FB73D7ECD4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6</vt:i4>
      </vt:variant>
    </vt:vector>
  </HeadingPairs>
  <TitlesOfParts>
    <vt:vector size="10" baseType="lpstr">
      <vt:lpstr>Rekentool</vt:lpstr>
      <vt:lpstr>Leveranciers</vt:lpstr>
      <vt:lpstr>Gebruiksaanwijzing</vt:lpstr>
      <vt:lpstr>Terugleverkosten</vt:lpstr>
      <vt:lpstr>energiebelasting</vt:lpstr>
      <vt:lpstr>leverancier</vt:lpstr>
      <vt:lpstr>netbeheer</vt:lpstr>
      <vt:lpstr>teruggaaf</vt:lpstr>
      <vt:lpstr>teruglevering</vt:lpstr>
      <vt:lpstr>verbruik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Rekeningoverzicht</dc:title>
  <dc:creator>Gerard</dc:creator>
  <cp:lastModifiedBy>Gerard van Lier</cp:lastModifiedBy>
  <cp:lastPrinted>2023-06-01T19:15:02Z</cp:lastPrinted>
  <dcterms:created xsi:type="dcterms:W3CDTF">1997-08-03T11:41:22Z</dcterms:created>
  <dcterms:modified xsi:type="dcterms:W3CDTF">2025-05-04T12:58:35Z</dcterms:modified>
</cp:coreProperties>
</file>